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152" activeTab="0"/>
  </bookViews>
  <sheets>
    <sheet name="PROVVEDITORATO 2014" sheetId="1" r:id="rId1"/>
    <sheet name="elenco normative" sheetId="2" r:id="rId2"/>
  </sheets>
  <definedNames/>
  <calcPr fullCalcOnLoad="1"/>
</workbook>
</file>

<file path=xl/comments1.xml><?xml version="1.0" encoding="utf-8"?>
<comments xmlns="http://schemas.openxmlformats.org/spreadsheetml/2006/main">
  <authors>
    <author/>
  </authors>
  <commentList>
    <comment ref="I114" authorId="0">
      <text>
        <r>
          <rPr>
            <sz val="10"/>
            <rFont val="Arial"/>
            <family val="2"/>
          </rPr>
          <t>Valore calcolato su una base annua presunta di n.250 consegne. Importo contrattuale Euro 4,20/consegna IVA esclusa</t>
        </r>
      </text>
    </comment>
    <comment ref="E204" authorId="0">
      <text>
        <r>
          <rPr>
            <sz val="10"/>
            <rFont val="Arial"/>
            <family val="2"/>
          </rPr>
          <t>Det sg 184/2012</t>
        </r>
      </text>
    </comment>
    <comment ref="E211" authorId="0">
      <text>
        <r>
          <rPr>
            <sz val="10"/>
            <rFont val="Arial"/>
            <family val="2"/>
          </rPr>
          <t>Det sg 19/2013</t>
        </r>
      </text>
    </comment>
    <comment ref="E212" authorId="0">
      <text>
        <r>
          <rPr>
            <sz val="10"/>
            <rFont val="Arial"/>
            <family val="2"/>
          </rPr>
          <t>Det sg 19/2013</t>
        </r>
      </text>
    </comment>
    <comment ref="E213" authorId="0">
      <text>
        <r>
          <rPr>
            <sz val="10"/>
            <rFont val="Arial"/>
            <family val="2"/>
          </rPr>
          <t>Det sg 19/2013</t>
        </r>
      </text>
    </comment>
  </commentList>
</comments>
</file>

<file path=xl/comments2.xml><?xml version="1.0" encoding="utf-8"?>
<comments xmlns="http://schemas.openxmlformats.org/spreadsheetml/2006/main">
  <authors>
    <author/>
  </authors>
  <commentList>
    <comment ref="A7" authorId="0">
      <text>
        <r>
          <rPr>
            <sz val="10"/>
            <rFont val="Arial"/>
            <family val="2"/>
          </rPr>
          <t>In caso di Rdo deserta</t>
        </r>
      </text>
    </comment>
  </commentList>
</comments>
</file>

<file path=xl/sharedStrings.xml><?xml version="1.0" encoding="utf-8"?>
<sst xmlns="http://schemas.openxmlformats.org/spreadsheetml/2006/main" count="2652" uniqueCount="976">
  <si>
    <t>N. PROGR.</t>
  </si>
  <si>
    <t>CIG</t>
  </si>
  <si>
    <t>STRUTTURA PROPONENTE (denominazione)</t>
  </si>
  <si>
    <t>STRUTTURA PROPONENTE (codice fiscale)</t>
  </si>
  <si>
    <t>OGGETTO DEL BANDO</t>
  </si>
  <si>
    <t>PROCEDURA DI SCELTA DEL CONTRAENTE</t>
  </si>
  <si>
    <t>ELENCO DEGLI OPERATORI INVITATI A PRESENTARE OFFERTE (ragione sociale, codice fiscale e ruolo in caso di partecipazione con altri soggetti)</t>
  </si>
  <si>
    <t>AGGIUDICATARIO
(ragione sociale, codice fiscale e ruolo in caso di partecipazione con altri soggetti)</t>
  </si>
  <si>
    <t>IMPORTO DI AGGIUDICAZIONE (I.V.A. Esclusa)</t>
  </si>
  <si>
    <t>TEMPI DI COMPLETAMENTO DELL'OPERA, SERVIZIO O FORNITURA</t>
  </si>
  <si>
    <t>IMPORTO DELLE SOMME LIQUIDATE
(I.V.A.  Esclusa)</t>
  </si>
  <si>
    <t>Data di effettivo inizio lavori, servizi o forniture</t>
  </si>
  <si>
    <t>Data di ultimazione lavori, servizio o forniture</t>
  </si>
  <si>
    <t>Z3E06CFB48</t>
  </si>
  <si>
    <t xml:space="preserve">Camera di commercio di Ravenna </t>
  </si>
  <si>
    <t>00361270390</t>
  </si>
  <si>
    <t>Polizza all risk patrimonio</t>
  </si>
  <si>
    <t>08-AFFIDAMENTO IN ECONOMIA - COTTIMO FIDUCIARIO</t>
  </si>
  <si>
    <t>Unipol ASSICURAZIONI S.p.A. Bologna 02705901201</t>
  </si>
  <si>
    <t>ZBA06CFFB5E</t>
  </si>
  <si>
    <t>Polizza Responsabilità civile</t>
  </si>
  <si>
    <t>ZDC079FE5C</t>
  </si>
  <si>
    <t>Polizza RCA Auto Fiat PUNTO</t>
  </si>
  <si>
    <t>Z8006CFB6C</t>
  </si>
  <si>
    <t>Polizza Auto Rischi Diversi (Kasko)</t>
  </si>
  <si>
    <t>Z3406CFB87</t>
  </si>
  <si>
    <t xml:space="preserve">Polizza Infortuni </t>
  </si>
  <si>
    <t>Z4307A0043</t>
  </si>
  <si>
    <t xml:space="preserve">Responsabilità civile patrimoniale Dirigenti e Posizioni Organizzative e levata protesti Segretario </t>
  </si>
  <si>
    <t>23-AFFIDAMENTO IN ECONOMIA - AFFIDAMENTO DIRETTO</t>
  </si>
  <si>
    <t>Dual Italia S.p.a. Milano 13199520159</t>
  </si>
  <si>
    <t>ZFA04505BD</t>
  </si>
  <si>
    <t>Contratto di assicurazione a copertura della Responsabilità Civile professionale degli Organismi di Conciliazione.</t>
  </si>
  <si>
    <t>Z3A05E85EA</t>
  </si>
  <si>
    <t>Servizio di brokeraggio Assicurativo: Pagamento Polizze All risks patrimonio, Responsabilità civile, Kasko ard, Infortuni ed RC patrimoniale anno 2013</t>
  </si>
  <si>
    <t>Assiteca S.p.A. Milano 09743130156 (ex Verconsult S.p.a. Milano 10058820159, ex GPA S.p.a. Milano 10058820159)</t>
  </si>
  <si>
    <t>Z4F01EEEF8</t>
  </si>
  <si>
    <t>Gestione servizio listino Legalmail di posta certificata con integrazione  di n.7 caselle standard</t>
  </si>
  <si>
    <t>Infocert S.p.a. Roma 07945211006</t>
  </si>
  <si>
    <t>0000-00-00</t>
  </si>
  <si>
    <t>ZF407EC0B0</t>
  </si>
  <si>
    <t>Gestione dei documenti cartacei del registro delle Imprese DOGE</t>
  </si>
  <si>
    <t>IC Outsourcing S.c.r.l. Padova 04408300285</t>
  </si>
  <si>
    <t>Z74079E44A</t>
  </si>
  <si>
    <t>Servizio di gestione di firma massiva tramite adesione convenzione Infocamere  S.p.a.</t>
  </si>
  <si>
    <t>Selecta S.p.A. S.Martino in Rio (RE) 01961900246</t>
  </si>
  <si>
    <t>Z3C053EC84</t>
  </si>
  <si>
    <t>Servizio integrato di gestione della corrispondenza per le esigenze informative e di mailing del diritto annuale tramite adesione convenzione Infocamere  S.p.a.</t>
  </si>
  <si>
    <t>T.N.T. Post Italia S.p.a. Milano 12383760159</t>
  </si>
  <si>
    <t>Servizio di hosting web gestione sito camerale</t>
  </si>
  <si>
    <t>25-AFFIDAMENTO DIRETTO A SOCIETA'' RAGGRUPPATE/CONSORZIATE O CONTROLLATE NELLE CONCESSIONI DI LL.PP</t>
  </si>
  <si>
    <t>Camera di commercio Ferrara 00292740388</t>
  </si>
  <si>
    <t>Z57020CAB1</t>
  </si>
  <si>
    <t xml:space="preserve">Contratto di manutenzione alle attrezzature informatiche camerali, Euro 29,00/ora </t>
  </si>
  <si>
    <t>Computer Doctor S.n.c. Ravenna 01116500396</t>
  </si>
  <si>
    <t>20551592DB</t>
  </si>
  <si>
    <t>Noleggio n.9 fotocopiatrici  digitali fascia alta  Lotto n.2 Consip 17</t>
  </si>
  <si>
    <t>26-AFFIDAMENTO DIRETTO IN ADESIONE AD ACCORDO QUADRO/CONVENZIONE</t>
  </si>
  <si>
    <t>R.T.I. XEROX Italia Rental Services S.r.l. 04763060961</t>
  </si>
  <si>
    <t>Z350222766</t>
  </si>
  <si>
    <t>Gestione e manutenzione impianti per la climatizzazione invernale, per il condizionamento dell'aria e per la produzione di acqua calda alle sedi camerali.</t>
  </si>
  <si>
    <t>N.T.A. Nuove Tecnologie Applicate S.r.l. Ravenna 00734580392</t>
  </si>
  <si>
    <t>Z4901EFFFB</t>
  </si>
  <si>
    <t>manutenzione sistema sicurezza, antintrusione, e di videosorveglianza sede camerale e deposito bassette</t>
  </si>
  <si>
    <t>Tecno Allarmi Sistemi s.r.l. Ravenna 02137460396</t>
  </si>
  <si>
    <t xml:space="preserve">Manutenzione ed Assistenza al sistema di sollevamento di Palazzo Manzone civico n.14 (con servizio di emergenza/assistenza 24/h su 24 obbligatorio via GSM), civ.6 e civ.18 e Palazzo Loreta </t>
  </si>
  <si>
    <t>BAMA S.r.l. Cervia (RA) 00695020396</t>
  </si>
  <si>
    <t>ZDB00C6FC8</t>
  </si>
  <si>
    <t>Manutenzione ed Assistenza al sistema di affrancatura digitale modello DM500, e all'imbustatrice con alimentatore</t>
  </si>
  <si>
    <t>Pitney Bowes Italia s.r.l. Milano 09346150155</t>
  </si>
  <si>
    <t>Manutenzione ordinaria cabina di media tensione con reperibilità 24h su 24h</t>
  </si>
  <si>
    <t>Russo Impianti di Pacilli Antonio Ravenna PCLNTN67H10I054J</t>
  </si>
  <si>
    <t>Z6907A24FA</t>
  </si>
  <si>
    <t>Manutenzione ed Assistenza a n.3 bollatrici T5L comprendente n.3 visite annuali</t>
  </si>
  <si>
    <t>Fattori Safest S.r.l. Milano 10416260155</t>
  </si>
  <si>
    <t>ZCC01E8088</t>
  </si>
  <si>
    <t>Manutenzione programmata attrezzature e dispositivi antincendio sedi camerali con integrazione porte battenti tagliafuoco e uscite di sicurezza</t>
  </si>
  <si>
    <t>Nuova OLP Impianti S.r.l. Ravenna 01478520396</t>
  </si>
  <si>
    <t>Manutenzione ed Assistenza degli impianti elettrici camerali, Euro 25,00/ora</t>
  </si>
  <si>
    <t>P.I.E. di Passalacqua Davide &amp; c. s.n.c. Ravenna 01229750391</t>
  </si>
  <si>
    <t>Manutenzione programmata alla parete scorrevole in cristallo serie verticale by loch</t>
  </si>
  <si>
    <t>Estfeller s.r.l. Ora (BZ) 00884890211</t>
  </si>
  <si>
    <t>Z0B0257FCB</t>
  </si>
  <si>
    <t xml:space="preserve">Contratto manutenzione impianto domotica Luxmate Professionale </t>
  </si>
  <si>
    <t>Zumtobel illuminazione s.r.l. Varna (BZ) 00192920213</t>
  </si>
  <si>
    <t>Z170257F1B</t>
  </si>
  <si>
    <t>Contratto per la manutenzione hardware del marcatempo dell'azienda speciale.</t>
  </si>
  <si>
    <t>Tecnocontrol di Bruschi Andrea &amp;C. s.a.s. Rimini 01616780407</t>
  </si>
  <si>
    <t>Z6108484DF</t>
  </si>
  <si>
    <t>Contratto di manutenzione programmata automazione cancelli</t>
  </si>
  <si>
    <t>Siat Automazioni di Nicolucci Carlo &amp; C. s.n.c. Ravenna 01281090397</t>
  </si>
  <si>
    <t>ZF901F1CCA</t>
  </si>
  <si>
    <t>Servizio in convenzione per verifiche periodiche biennali agli ascensori camerali</t>
  </si>
  <si>
    <t>ECO Certificazioni S.p.A. Faenza  (RA) 01358950390</t>
  </si>
  <si>
    <t>2415454FAE</t>
  </si>
  <si>
    <t>Servizio di manutenzione ordinaria sistema eliminacode</t>
  </si>
  <si>
    <t>Ciemme Gesco S.r.l. Passignano (PG) 02958520542</t>
  </si>
  <si>
    <t>ZF706175E4</t>
  </si>
  <si>
    <t>Contratto per servizio di posta target</t>
  </si>
  <si>
    <t>Poste Italiane S.p.A. Roma 97103880585</t>
  </si>
  <si>
    <t>Z1405A8EB1</t>
  </si>
  <si>
    <t xml:space="preserve">servizio DELIVERY per consegna a domicilio </t>
  </si>
  <si>
    <t>Z2005A8EFC</t>
  </si>
  <si>
    <t>Servizio di posta Pick Up Light</t>
  </si>
  <si>
    <t>Servizio di tesoreria</t>
  </si>
  <si>
    <t>01-PROCEDURA APERTA</t>
  </si>
  <si>
    <t>Credito Cooperativo Ravennate ed Imolese Soc.Coop. 01445030396, Unicredit Banca S.p.a. 12931320159, Cassa dei Risparmi di Forlì e della Romagna S.p.a. 00182270405, Cassa di Risparmio di Ravenna S.p.a. 01188860397, Unipol Banca S.p.a. 03719580379</t>
  </si>
  <si>
    <t>Credito Coop.vo Ravennate e Imolese Faenza (RA) 01445030396</t>
  </si>
  <si>
    <t>Contratto per attivazione di servizi di commercio elettronico</t>
  </si>
  <si>
    <t>ZBD07A7868</t>
  </si>
  <si>
    <t>Servizio di fornitura di trasporti  espresso di pacchi e documenti e di collegamento tra le sedi camerali, Euro 4,13/spedizione in Provincia</t>
  </si>
  <si>
    <t>Aelleci Transport S.r.l. Ravenna 01137670392</t>
  </si>
  <si>
    <t>1111914C72</t>
  </si>
  <si>
    <t>Servizio di facchinaggio, Euro 18,50/ora</t>
  </si>
  <si>
    <t>CO.FA.RI Soc. Coop.Ravenna 00176150399</t>
  </si>
  <si>
    <t>Z6801E800D</t>
  </si>
  <si>
    <t>Assistenza manutenzione parco piante uffici sede e assistenza periodica aree verdi sede e sistema di irrigazione e manutenzione periodica alle piante camerali e archivio</t>
  </si>
  <si>
    <t>I giardini di Arcozzi di Arcozzi Filippo Ravenna RCZFPP81M24H199M</t>
  </si>
  <si>
    <t>Servizio di erogazione buoni pasto dipendenti camerali tramite Convenzione Consip</t>
  </si>
  <si>
    <t>DAY Ristoservice S.p.A. Bologna 03543000370</t>
  </si>
  <si>
    <t>ZAC07B6CDD</t>
  </si>
  <si>
    <t>Servizio, in comodato uso gratuito di n.8 erogatori di acqua per sedi camerali di Ravenna n.7 Faenza n.1 e Lugo n.1</t>
  </si>
  <si>
    <t>Bertaccini s.n.c. Forlì 03178700401</t>
  </si>
  <si>
    <t>Z4701E80F6</t>
  </si>
  <si>
    <t>Servizio in comodato d'uso  dei distributori per materiali di consumo per bagni sedi camerali e igienizzazione servizi igienici e fornitura materiali di consumo</t>
  </si>
  <si>
    <t>Compreur S.r.l. Zola Pedrosa (BO) 03232630370</t>
  </si>
  <si>
    <t>Z8607BB014</t>
  </si>
  <si>
    <t>Servizio di vigilanza diurna e notturna alle sedi camerali</t>
  </si>
  <si>
    <t>Colas P.I. Soc Coop a r.l.  Ravenna 00247780398</t>
  </si>
  <si>
    <t>Servizio di consulenza con responsabilità D.Lgs.n.81/08, corso antincendio e primo soccorso e agg.to doc.to valutazione incendio</t>
  </si>
  <si>
    <t>Soc.Albatros Ecologia Ambiente Sicurezza Soc.Cons.a r.l. Ravenna 02288230390</t>
  </si>
  <si>
    <t>1504712F9B</t>
  </si>
  <si>
    <t>Servizio di prestazione di sorveglianza sanitaria ai sensi del D.Lgs.n.81/08 – Euro 34,00/visita</t>
  </si>
  <si>
    <t>Centro Medico Fisios s.r.l. Ravenna + Prestazioni Dott.Iacino Ravenna 01164490391</t>
  </si>
  <si>
    <t>Z3A044BA75</t>
  </si>
  <si>
    <t>servizio per attivita' di comunicazione esterna della Camera di Commercio</t>
  </si>
  <si>
    <t>Mistral comunicazione globale S.a.s. Di Vittoria Maria Venturelli Ravenna 01263200394</t>
  </si>
  <si>
    <t>ZD407CF50C</t>
  </si>
  <si>
    <t>Contratto per il servizio di stampa e fornitura di modulistica e stampati</t>
  </si>
  <si>
    <t>Tipolitografia Valgimigli di Valgimigli Valfrido &amp; C. s.n.c. Faenza 00093260396</t>
  </si>
  <si>
    <t>Z9307CB572</t>
  </si>
  <si>
    <t>Contratto per il servizio di stampa e fornitura di inviti, locandine, manifesti in occasione di eventi camerali</t>
  </si>
  <si>
    <t>Tipolitostear S.n.c.di Plazzi e Casali Ravenna 01361300393</t>
  </si>
  <si>
    <t>Servizio di pulizia locali sedi camerali tramite Convenzione Intercent-er</t>
  </si>
  <si>
    <t>CNS Consorzio Nazionale Servizi Soc.Coop. Bologna 02884150588</t>
  </si>
  <si>
    <t>ZDA028BF23</t>
  </si>
  <si>
    <t>disotturazione/prelievo e smaltimento di rifiuti organici contenuti in fosse biologiche, Euro 45,00/t</t>
  </si>
  <si>
    <t>CON.S.A.R. Coop.va Cons.Ravenna 00175490390</t>
  </si>
  <si>
    <t>Z4B0046243</t>
  </si>
  <si>
    <t>Certificazione di qualità ISO 9001:2008 e Certificazione di qualità ISO 1221:2009 EMAS</t>
  </si>
  <si>
    <t>Bureau Veritas Italia S.p.A. Milano 11498640157</t>
  </si>
  <si>
    <t>14550400FE</t>
  </si>
  <si>
    <t>assistenza al sistema di qualità ISO 9001:2008</t>
  </si>
  <si>
    <t>Net Working S.r.l. Bologna 04329160370</t>
  </si>
  <si>
    <t>3031154B66</t>
  </si>
  <si>
    <t>Servizio di somministrazione di personale a tempo determinato</t>
  </si>
  <si>
    <t>Oasi Lavoro S.p.a. 02552531200, Tempor S.p.a. 00685980146, Gi.Group S.p.a. 11629770154, Temporary S.p.a. 12288660157, Manpower S.r.l. 11947650153, Openjob S.p.a. 13343690155, Vita Serena S.p.a. 02344980608, Umana S.p.a. 05391311007, Adecco Italia S.p.a. 13366030156, Job Italia S.p.a. 03714920232.</t>
  </si>
  <si>
    <t>OASI Lavoro S.p.A. Bologna 02552531200</t>
  </si>
  <si>
    <t>ZE507A099C</t>
  </si>
  <si>
    <t>Servizio di ospitalità per manifestazioni camerali</t>
  </si>
  <si>
    <t>Coccinella di Antonioli Amedeo Ravenna NTNMDA54B07E730H</t>
  </si>
  <si>
    <t>Z260403ED2</t>
  </si>
  <si>
    <t>Servizio di Impaginazione, stampa, distribuzione e gestione delle sponsorizzazioni derivanti dalla vendita di spazi pubblicitari della rivista Bollettino economico Systema</t>
  </si>
  <si>
    <t>Full Print s.r.l./ Publimedia Italia s.r.l. Ravenna 01390090395</t>
  </si>
  <si>
    <t>112631153C</t>
  </si>
  <si>
    <t>contratto in noleggio per autovettura Fiat Punto evo tramite convenzione Consip</t>
  </si>
  <si>
    <t>Axus Italiana S.r.l. Roma 07978810583</t>
  </si>
  <si>
    <t>13874407B3</t>
  </si>
  <si>
    <t xml:space="preserve">Consulenza e supporto tecnico per la realizzazione sistema gestione ambientale EMAS </t>
  </si>
  <si>
    <t>EQO s.r.l. Bologna 02064131200</t>
  </si>
  <si>
    <t>ZCB07AAB3E</t>
  </si>
  <si>
    <t>Servizio per la produzione del Rapporto Trimestrale sulla congiuntura economica anno 2013</t>
  </si>
  <si>
    <t>CINECA Consorzio Interuniversitario Bologna 00317740371</t>
  </si>
  <si>
    <t>ZD603FB5EE</t>
  </si>
  <si>
    <t>Fornitura servizio gas per sede di Ravenna Viale L.C.Farini n.14 – ott/nov/dic 2012 – gen/feb 2013</t>
  </si>
  <si>
    <t>HERA S.p.A. Bologna 04245520376</t>
  </si>
  <si>
    <t>ZA003FB615</t>
  </si>
  <si>
    <t>Fornitura servizio gas per sede di Ravenna Via Di Roma n.89 ott/nov/dic 2012 – gen/feb 2013</t>
  </si>
  <si>
    <t>Z5803FB54E</t>
  </si>
  <si>
    <t>Fornitura servizio gas per la sede di Faenza – nov/dic 2012 – gen/feb 2013</t>
  </si>
  <si>
    <t>Fornitura servizio acqua sedi camerali per Viale Farini n.14 e n.10, via Fortisn.35 e c.so Matteotti n.3 a Lugo</t>
  </si>
  <si>
    <t>Z8A03FB318</t>
  </si>
  <si>
    <t xml:space="preserve">Fornitura servizio per energia elettrica sede di Ravenna civico n.12  </t>
  </si>
  <si>
    <t>Z4703FB3AA</t>
  </si>
  <si>
    <t>Fornitura servizio per energia elettrica per magazzino Bassette via A.Fortis 35 a Ravenna</t>
  </si>
  <si>
    <t>Z0803FB455</t>
  </si>
  <si>
    <t xml:space="preserve">Fornitura servizio per energia elettrica sede di Lugo -  c.so Matteotti 3 </t>
  </si>
  <si>
    <t>Z6203FB414</t>
  </si>
  <si>
    <t>Fornitura servizio per energia elettrica sede di Faenza</t>
  </si>
  <si>
    <t>Z1A03FB34D</t>
  </si>
  <si>
    <t xml:space="preserve">Fornitura servizio per energia elettrica sede di Ravenna Viale Farini n.10 (ex Spagnoli) </t>
  </si>
  <si>
    <t>Z920869EA1</t>
  </si>
  <si>
    <t>Fornitura di gas naturale e dei servizi connessi in viale L.C.Farini 14, Ravenna a partire dall'1/4/2013 tramite convenzione Consip</t>
  </si>
  <si>
    <t>Soenergy S.r.l. Argenta (FE) 01565370382</t>
  </si>
  <si>
    <t>Z460869DC1</t>
  </si>
  <si>
    <t>Fornitura di gas naturale e dei servizi connessi in via di Roma 89, Ravenna a partire dall'1/4/2013 tramite convenzione Consip</t>
  </si>
  <si>
    <t>Z3C0869E00</t>
  </si>
  <si>
    <t>Fornitura di gas naturale e dei servizi connessi in via Laghi 59, Faenza  a partire dall'1/4/2013 tramite convenzione Consip</t>
  </si>
  <si>
    <t>Z2C084C01F</t>
  </si>
  <si>
    <t>Fornitura di energia elettrica in viale L.C.Farini 12, Ravenna  a partire dall'1/4/2013 tramite convenzione Intercent-er</t>
  </si>
  <si>
    <t>Edison Energia S.p.a. Milano 08526440154</t>
  </si>
  <si>
    <t>ZB6084C10A</t>
  </si>
  <si>
    <t>Fornitura di energia elettrica in viale L.C.Farini 6, Ravenna a partire dall'1/4/2013 tramite convenzione Intercent-er</t>
  </si>
  <si>
    <t>Z36084C0DB</t>
  </si>
  <si>
    <t>Fornitura di energia elettrica in via A.Fortis 45, Ravenna  a partire dall'1/4/2013 tramite convenzione Intercent-er</t>
  </si>
  <si>
    <t>Z8F084C055</t>
  </si>
  <si>
    <t>Fornitura di energia elettrica in via Laghi 59a, Faenza  a partire dall'1/4/2013 tramite convenzione Intercent-er</t>
  </si>
  <si>
    <t>ZB4084C080</t>
  </si>
  <si>
    <t>Fornitura di energia elettrica in corso G.Matteotti 3, Lugo  a partire dall'1/4/2013 tramite convenzione Intercent-er</t>
  </si>
  <si>
    <t>Z2200404DA</t>
  </si>
  <si>
    <t>Fornitura servizio di telefonia fissa per gestione numero verde tramite convenzione Intercent-er</t>
  </si>
  <si>
    <t>Telecom Italia S.p.A. Milano 00488410010</t>
  </si>
  <si>
    <t>1108734C3A</t>
  </si>
  <si>
    <t>servizio di telefonia fissa e trasmissione dati con migrazione a VOIP tramite convenzione Intercent-er</t>
  </si>
  <si>
    <t>249828412D</t>
  </si>
  <si>
    <t>Contratto per n.3 cellulari e n.4 chiavette con Sim tramite convenzione Consip</t>
  </si>
  <si>
    <t>Tim  S.p.A. Milano  00488410010</t>
  </si>
  <si>
    <t>402892346F</t>
  </si>
  <si>
    <t>Disciplinare di incarico per realizzazione progetto preliminare per realizzazione di interventi di riqualificazione energetica ed uso di fonti rinnovabili di energia</t>
  </si>
  <si>
    <t>Studio Lenzi e Associati, ER Studio Associato di Maistrello e Rotta, Stain Engineering s.r.l., LGA ingegneria s.r.l., Studio Tecnico Franzese, Ing. Carlo Pisanu, Montaldo e Tendaz,  Consilium servizi di ingegneria s.r.l., Efaistos Associati, Studio di Ingegneria Rizzieri, Ing. Monti Virgili Freschi, Studio Associato d'Ingegneria Thesis, Seti Ingegneria s.r.l., StudioTI Società Cooperativa Ing. Riccardo Tognarini, Studio Tecnico Associato Fucelli Architetto Alessandro, Bovo Studio due esse s.r.l., Pianese Luigi,Studio Tecnico Associato Marchingegno, Francesco Signorini Ing.Dosi Stefano Crea s.r.l., Doris Pasda Techneprogetti s.r.l, Studio Tecnico Gaetano Rocc,o Studio Tecnico  Leonardi Orlando, Studio Lombardi Lino, Studio Ingegneria Ing. Minutolo Francesco, Studio Ing.Emanuele Faggi, SAF&amp;P engineering s.r.l., Studio Tecnico M2 engineering, Studio Architettura Giugni, S.E.A.S. s.r.l., MSM Ingegneria  s.n.c.di Salvago de Gennaro e Melica, Tecnicoop soc.coop.va, Studio Associato Busolini e Costantini, progetti Impronte soc.coop a r.l., Studio Tecnico Ing. Leprini Massimo, Bottacini Andrea Giampaolo, Studio di Ingegneria Ing. Scatizzi Gianpaolo, Cremonesi Consulenze s.r.l., Studio Ing. Luca Sani, Società Getea Italia s.r.l., Guendalina Salimei.</t>
  </si>
  <si>
    <t>R.T.P. Ing.Rizzieri Carlo e Giampaolo Rovigo RZZCRL48H29H620D</t>
  </si>
  <si>
    <t>Convenzione con le PPAA per la diffusione e commercializzazione dell'abbonamento annuale  al trasporto pubblico per lavoratori denominato “job ticket”</t>
  </si>
  <si>
    <t>Start Romagna S.p.A. Cesena  03836450407</t>
  </si>
  <si>
    <t>Z7E08C67A1</t>
  </si>
  <si>
    <t>fornitura di etichette adesive per le verifiche periodiche degli strumenti di misura</t>
  </si>
  <si>
    <t>Laser Lab S.r.l. Legnano (MI) 02447360120</t>
  </si>
  <si>
    <t>Z130848470</t>
  </si>
  <si>
    <t>Manutenzione ordinaria per messa in sicurezza cancello automatico passo carrabile</t>
  </si>
  <si>
    <t>Z2008A09DB</t>
  </si>
  <si>
    <t>Inserzione elenco telefonico Pagine bianche ed.2013/2014</t>
  </si>
  <si>
    <t>Seat Pagine Gialle S.p.a. Milano 03970540963</t>
  </si>
  <si>
    <t>Z1608EE16A</t>
  </si>
  <si>
    <t>Fornitura cartucce toner/fotoconduttori rigenerati per stampanti laserjet tramite MePA Consip</t>
  </si>
  <si>
    <t>Ecorefill S.r.l. Empoli (FI) 02279000489</t>
  </si>
  <si>
    <t>Z2D0838F77</t>
  </si>
  <si>
    <t>Gestione del piano formativo di sistema ed acquisizione relativa formazione</t>
  </si>
  <si>
    <t>Istituto Formazione Operatori Aziendali I.F.O.A. Reggio Emilia 00453310351</t>
  </si>
  <si>
    <t>Z5307BAD1E</t>
  </si>
  <si>
    <t>Noleggio con allestimento di uno stand e fornitura monitor lcd 40”, energia elettrica e grafica adesiva rifilata per OMC 2013</t>
  </si>
  <si>
    <t>Allestimenti &amp; Pubblicità S.p.a. Imola (BO) 01513391209</t>
  </si>
  <si>
    <t>Z720857D97</t>
  </si>
  <si>
    <t>Servizio di revisione video OMC 2011 per la manifestazione OMC2013</t>
  </si>
  <si>
    <t>ABC Advertising Business Communication S.r.l. Ravenna 02027790399</t>
  </si>
  <si>
    <t>ZCF08CE950</t>
  </si>
  <si>
    <t>Fornitura materiale di cancelleria RDO n.158611 tramite MePA Consip</t>
  </si>
  <si>
    <t>04-PROCEDURA NEGOZIATA SENZA PREVIA PUBBLICAZIONE DEL BANDO</t>
  </si>
  <si>
    <t>DE.CA.RA. S.n.c. 13200960154</t>
  </si>
  <si>
    <t>DE.CA.RA. S.n.c. Ravenna 13200960154</t>
  </si>
  <si>
    <t>ZAA08ADD93</t>
  </si>
  <si>
    <t>Servizio di gestione della biblioteca di proprietà camerale</t>
  </si>
  <si>
    <t>Fondazione Casa di Oriani Ravenna 80004320398</t>
  </si>
  <si>
    <t>Z3304D46F0</t>
  </si>
  <si>
    <t>Progettazione, realizzazione spot cinema per 150° CCIAA</t>
  </si>
  <si>
    <t>Publimedia Italia S.r.l. Ravenna 01108930395</t>
  </si>
  <si>
    <t>Z790639377</t>
  </si>
  <si>
    <t>Fornitura n.20 Personal computer desktop con monitor  tramite convenzione Consip</t>
  </si>
  <si>
    <t>Olidata S.p.a. Cesena (FC)  01785490408 credito ceduto a Sace Fct S.p.a. Milano 01785490408</t>
  </si>
  <si>
    <t>Z0206BBD20</t>
  </si>
  <si>
    <t>Realizzazione seminario Orientascuola 2012</t>
  </si>
  <si>
    <t>Z1B04D6C97</t>
  </si>
  <si>
    <t>Spazio espositivo per OMC 2013</t>
  </si>
  <si>
    <t>IES S.r.l. Roma 04428121000</t>
  </si>
  <si>
    <t>ZCD06F2E60</t>
  </si>
  <si>
    <t>Vendita di n.52 copie volume storia della Capitaneria di porto di Ravenna e servizi redazionali e n.4 abbonamenti al settimanale Qui Magazine</t>
  </si>
  <si>
    <t>Media News Soc.Coop. Di Giornalisti Ravenna 01064080391</t>
  </si>
  <si>
    <t>ZD50767867</t>
  </si>
  <si>
    <t>Fornitura carta A4 per fotocopie ecosostenibile tramite MePA Consip</t>
  </si>
  <si>
    <t>Augusto Berni S.p.a. S.Lazzaro di Savena (BO) 00281080374</t>
  </si>
  <si>
    <t>ZF5007DB49</t>
  </si>
  <si>
    <t>Abbonamento a riviste Leggi d'Italia anni 2011-2012-2013</t>
  </si>
  <si>
    <t>Wolters Kluwer Italia S.r.l. Assago (MI)  10209790152</t>
  </si>
  <si>
    <t>Z3509270C8</t>
  </si>
  <si>
    <t xml:space="preserve">Accordo commerciale “Corporate Travel” per l'acquisto di biglietti ferroviari </t>
  </si>
  <si>
    <t>Trenitalia S.p.a. Roma 05403151003</t>
  </si>
  <si>
    <t>ZB70931152</t>
  </si>
  <si>
    <t>ZD808F0509</t>
  </si>
  <si>
    <t>Servizio di recupero crediti stragiudiziale per le violazioni relative al diritto annuale anno 2010</t>
  </si>
  <si>
    <t>SO.R.IT. Società Servizi e Riscossioni Italia S.p.a. Ravenna 02241250394</t>
  </si>
  <si>
    <t>Z2101E7F8B</t>
  </si>
  <si>
    <t>Servizio di selezione e scarto periodico della documentazione di pertinenza dell'archivio di deposito camerale per il triennio 2012/2014</t>
  </si>
  <si>
    <t>Dott.Saverio Amadori Bologna MDRSVR71R03A944L</t>
  </si>
  <si>
    <t>ZB9096FAEB</t>
  </si>
  <si>
    <t>Fornitura di medaglie in oro coniate da consegnare in occasione della "Giornata dell'Economia 2013</t>
  </si>
  <si>
    <t>Unoaerre Industries S.p.a. Arezzo 02039680513</t>
  </si>
  <si>
    <t>Z400979E66</t>
  </si>
  <si>
    <t xml:space="preserve"> Fornitura di n.300 copie del libro "Parole alla giente" Edizioni del Girasole srl</t>
  </si>
  <si>
    <t>Edizioni del Girasole S.r.l. Ravenna 01254430398</t>
  </si>
  <si>
    <t>ZF509294D8</t>
  </si>
  <si>
    <t>Fornitura di n.2000 buste verdi per notifica tramite MePA Consip</t>
  </si>
  <si>
    <t>Grafica A.Baruffaldi S.r.l. Mantova 00171370208</t>
  </si>
  <si>
    <t>Z8309739D2</t>
  </si>
  <si>
    <t>Fornitura di n. 15.000 shoppers per l'iniziativa "Carta dei servizi turistici di qualità" 2013.</t>
  </si>
  <si>
    <t>2WIN S.r.l. Castello d'Argile (BO) 03097331205</t>
  </si>
  <si>
    <t>ZD0099DA96</t>
  </si>
  <si>
    <t>Stesura e sottoscrizione dell'asseverazione da allegare all'attestazione di rinnovo periodico di conformità antincendio per l'archivio camerale</t>
  </si>
  <si>
    <t>Techno S.r.l. Ravenna 01472660396</t>
  </si>
  <si>
    <t>Z6309ACDC7</t>
  </si>
  <si>
    <t>Fornitura di uno spazio sulla testata Ravenna24weekly per promuovere il convegno “Arbitrato: il nuovo regolamento della Camera arbitrale”</t>
  </si>
  <si>
    <t>ZE709DCFBA</t>
  </si>
  <si>
    <t>Lavoro di assemblaggio e sostituzione del quadro elettrico di bassa tensione in cabina elettrica</t>
  </si>
  <si>
    <t>ZB609D1BD7</t>
  </si>
  <si>
    <t>Fornitura di un Leaderboard in homepage nel sito ravenna24ore.it</t>
  </si>
  <si>
    <t>ZAE09D1AAA</t>
  </si>
  <si>
    <t>Servizio di progettazione e pubblicazione di due banner web pubblicitari in Ravennanotizie.it</t>
  </si>
  <si>
    <t>Pagano Antonio Tito (PZ) PGNNTN83A16D390Y</t>
  </si>
  <si>
    <t>Z940A31603</t>
  </si>
  <si>
    <t>Fornitura di un servizio redazionale televisivo/trasmissione in emittenti locali in occasione dell'11^ Giornata dell'economia</t>
  </si>
  <si>
    <t>New Time S.r.l. Forlì 03700900404</t>
  </si>
  <si>
    <t>Z850A343F9</t>
  </si>
  <si>
    <t>Fornitura e installazione impianto audio in sala Cavalcoli</t>
  </si>
  <si>
    <t>Joint Rent S.a.s. Ravenna 01131190397</t>
  </si>
  <si>
    <t>Z3C0A61D60</t>
  </si>
  <si>
    <t>Fornitura e installazione di un impianto di videocitofono completo per il Palazzo Loreta</t>
  </si>
  <si>
    <t>ZD80A92BAD</t>
  </si>
  <si>
    <t>Servizio per il ritiro della corrispondenza denominato Posta Pick up light</t>
  </si>
  <si>
    <t>ZFA0ABE135</t>
  </si>
  <si>
    <t xml:space="preserve">Servizio per la consegna a domicilio della corrispondenza </t>
  </si>
  <si>
    <t>Z230AD18E5</t>
  </si>
  <si>
    <t>Fornitura n.3 tablet HP Elitepad 900 con accessori tramite MePA Consip</t>
  </si>
  <si>
    <t>Datamarket S.r.l. Teramo 00884490673</t>
  </si>
  <si>
    <t>ZD10AD9445</t>
  </si>
  <si>
    <t>Fornitura n.3 abbonamenti quadriennali a riviste edite da Il Sole 24 ORE S.p.a.: Riviste24 Fisco, Riviste24 PA e GPF</t>
  </si>
  <si>
    <t>Il Sole 24 ORE S.p.a. Milano 00777910159</t>
  </si>
  <si>
    <t>Z560B28B24</t>
  </si>
  <si>
    <t>Manutenzione del portone scorrevole del garage per l'adeguamento alle norme di sicurezza</t>
  </si>
  <si>
    <t>Z0309B2B85</t>
  </si>
  <si>
    <t>Stampa e fornitura n.1000 libri “Regolamento Camera Arbitrale”</t>
  </si>
  <si>
    <t>Z320ABD089</t>
  </si>
  <si>
    <t xml:space="preserve">Fornitura n.33 buoni libro regalo da destinare a studenti meritevoli </t>
  </si>
  <si>
    <t>Librerie Feltrinelli S.r.l. Milano 04628790968</t>
  </si>
  <si>
    <t>ZA10B18DCE</t>
  </si>
  <si>
    <t>04961972B7</t>
  </si>
  <si>
    <t>Rilascio e rinnovo certificato di sottoscrizione Carta Nazionale dei Servizi tramite MePA Consip</t>
  </si>
  <si>
    <t>ZCF02479E4</t>
  </si>
  <si>
    <t>Z4A0A468EB</t>
  </si>
  <si>
    <t>Fornitura, installazione e configurazione di apparati wifi collegati alla rete Ravennawifi</t>
  </si>
  <si>
    <t>Wicom S.r.l. Ravenna 02133810396</t>
  </si>
  <si>
    <t>Z9B0AB6398</t>
  </si>
  <si>
    <t>Servizio di verifica a livello di progettazione preliminare già presentato dai Professionisti Rizzieri (prestazione obbligatoria) oltre alle eventuali prestazioni opzionali relative alla verifica dei livelli successivi del progetto per la realizzazione di interventi di riqualificazione energetica ed uso di fonti rinnovabili di energia in alcuni edifici della Camera di commercio</t>
  </si>
  <si>
    <t>Ing.Roberto Noferini, Ing.Patrizio Berretti, Ing.Mattia Galli, Ing.Flavio Godoli, Ing.Davide Lucchi</t>
  </si>
  <si>
    <t>Studio Tecnico Ing. Patrizio Berretti Ravenna BRRPRZ58S13H199V</t>
  </si>
  <si>
    <t>Z6B0BAEB748</t>
  </si>
  <si>
    <t>Rilegatura di n.4 volumi contenenti le riviste Systema tramite MePA Consip</t>
  </si>
  <si>
    <t>Legatoria Senio di Brunetti Fabrizio Alfonsine BRNFRZ56B10A191B</t>
  </si>
  <si>
    <t>ZC40B93E37</t>
  </si>
  <si>
    <t>Servizio di consultazione online dell'opera Leggi d'Italia Professionale</t>
  </si>
  <si>
    <t>Z7D0B941A1</t>
  </si>
  <si>
    <t>Fornitura rivista Le Società</t>
  </si>
  <si>
    <t>Z310BBFEC5</t>
  </si>
  <si>
    <t>Servizio di organizzazione e coordinamento del corso di aggiornamento per i mediatori iscritti nell'elenco dell'Organismo di mediazione della Camera di commercio di Ravenna</t>
  </si>
  <si>
    <t>Associazione Equilibrio Bologna 92049780379</t>
  </si>
  <si>
    <t>ZE10BE8255</t>
  </si>
  <si>
    <t>Lavoro di sostituzione e posa in opera di una vetrata rotta del piano terra di Palazzo Manzone</t>
  </si>
  <si>
    <t>Vetreria Bartoletti di Bartoletti G.e C. S.n.c.  Ravenna 01449520392</t>
  </si>
  <si>
    <t>Z160BE8286</t>
  </si>
  <si>
    <t>Fornitura e posa in opera di vetrofanie da applicare nella vetrata sostituita al piano terra di Palazzo Manzone</t>
  </si>
  <si>
    <t>Idea Pubblicità S.r.l. Forlì 01930400401</t>
  </si>
  <si>
    <t>ZA20BE8300</t>
  </si>
  <si>
    <t>Servizio di organizzazione di un corso di 20 ore in materia di arbitrato</t>
  </si>
  <si>
    <t>Z180BF0577</t>
  </si>
  <si>
    <t>Fornitura ed installazione di una memoria di espansione ram per server Fujitsu tramite MePA Consip</t>
  </si>
  <si>
    <t>Z120BCC741</t>
  </si>
  <si>
    <t>Fornitura ed installazione di uno storage di rete tramite MePA Consip</t>
  </si>
  <si>
    <t>RTC S.p.a. Zevio (VR) 02776770238</t>
  </si>
  <si>
    <t>Z310C0CE3D</t>
  </si>
  <si>
    <t>Servzio di gestione e manutenzione degli impianti di climatizzazione invernale, di condizionamento dell'aria e per la produzione di acqua calda ad uso igienico sanitario tramite MePA Consip</t>
  </si>
  <si>
    <t>Z640C15590</t>
  </si>
  <si>
    <t>Installazione in n.2 armadi rotanti di un kit per l'adeguamento del livello di sicurezza alle norme vigenti e per la loro manutenzione ordinaria tramite MePA Consip</t>
  </si>
  <si>
    <t>Tecnosistem S.n.c. Villanova di Castenaso (BO) 01579671205</t>
  </si>
  <si>
    <t>Z0C0C2AB8F</t>
  </si>
  <si>
    <t>Lavoro di sostituzione di n.3 fosse biologiche, manutenzione ciotolato, lavaggio con impermeabilizzazione della rampa in legno esterna ed abbassamento di una botola</t>
  </si>
  <si>
    <t>B.F.B. S.n.c. Faenza (RA) 00221740392</t>
  </si>
  <si>
    <t>Z530C40D09</t>
  </si>
  <si>
    <t>Fornitura n.1 scanner marca HP N6310 tramite MePA Consip</t>
  </si>
  <si>
    <t>ZAD0C3A5D5</t>
  </si>
  <si>
    <t>Fornitura n.25 Pc desktop con monitor e lettore smart card tramite convenzione Consip</t>
  </si>
  <si>
    <t>Olidata S.p.a. Cesena 01785490408</t>
  </si>
  <si>
    <t>Z4F0C32D64</t>
  </si>
  <si>
    <t>Servizio di sanificazione e manutenzione per colonnina erogatrice di acqua collegata direttamente alla fonte idrica</t>
  </si>
  <si>
    <t>Adriatica Acque S.r.l. Savignano sul Rubicone (FC) 03128080409</t>
  </si>
  <si>
    <t>Z1A0C5318A</t>
  </si>
  <si>
    <t>Servizio di verifica periodica biennale agli ascensori della sede camerale di Ravenna prevista dal D.P.R.n.162/99</t>
  </si>
  <si>
    <t>Z7D0C81215</t>
  </si>
  <si>
    <t>Fornitura di energia elettrica “verde” per le sedi camerali tramite convenzione Intercent-er</t>
  </si>
  <si>
    <t>Gala S.p.a. Roma 06832931007</t>
  </si>
  <si>
    <t>Z460C5104C</t>
  </si>
  <si>
    <t>Lavoro di manutenzione alle piante negli uffici, al “verde” nell'area cortilizia e presso l'archivio camerale</t>
  </si>
  <si>
    <t>Z6A0C31D23</t>
  </si>
  <si>
    <t>Servizio di attività di comunicazione esterna dell'ente camerale</t>
  </si>
  <si>
    <t>ZBC0C154C5</t>
  </si>
  <si>
    <t>Manutenzione ordinaria del sistema di gestione flussi utenti (elimina code) tramite MePA Consip</t>
  </si>
  <si>
    <t>54852435B7</t>
  </si>
  <si>
    <t>Oasi Lavoro S.p.a. 02552531200, Umana S.p.a. 05391311007, Gi.Group S.p.a. 11629770154</t>
  </si>
  <si>
    <t>Z08051BB66</t>
  </si>
  <si>
    <t>Servizio consultazione banca dati Saegis</t>
  </si>
  <si>
    <t>Thomson Compumark S.r.l. 02570660965</t>
  </si>
  <si>
    <t>Rinnovo convenzione Carta Nazionale dei Servizi (CNS)</t>
  </si>
  <si>
    <t>Z380CE1B55</t>
  </si>
  <si>
    <t>Fornitura materiale di rappresentanza</t>
  </si>
  <si>
    <t>Padovani Maioliche d'arte S.n.c. 00426410395</t>
  </si>
  <si>
    <t>Z960C8E4C2</t>
  </si>
  <si>
    <t>Servizio di manutenzione delle automazioni del cancello carrabile, del portone scorrevole del garage e delle due porte a servizio della rampa per disabili</t>
  </si>
  <si>
    <t>Servizio di analisi metalli preziosi</t>
  </si>
  <si>
    <t>24-AFFIDAMENTO DIRETTO A SOCIETA'' IN HOUSE</t>
  </si>
  <si>
    <t>Azienda Speciale S.A.G.O.R. Arezzo 01862680517</t>
  </si>
  <si>
    <t>Contratto adesione portale progetto Area Ambiente</t>
  </si>
  <si>
    <t>Ecocerved Roma 03991350376</t>
  </si>
  <si>
    <t>Gestione riscossione diritti di segreteria e recupero bolli sulle pratiche</t>
  </si>
  <si>
    <t>Infocamere S.p.a. Roma  02313821007</t>
  </si>
  <si>
    <t>Gestione del sistema informatico per archivio ottico atti Registro Imprese  EID3</t>
  </si>
  <si>
    <t>Gestione del sistema informatico per la gestione del dopo ruolo diritto annuo  DISAR</t>
  </si>
  <si>
    <t>Gestione del sistema informatico per emissioni carte tachigrafiche TACH</t>
  </si>
  <si>
    <t>Gestione del sistema informatico per la gestione della previdenza degli artigiani SPCA</t>
  </si>
  <si>
    <t>0000-0000</t>
  </si>
  <si>
    <t>Gestione del sistema informatico per la gestione dei protesti REPR</t>
  </si>
  <si>
    <t>Gestione del sistema informatico per archivio del Metrico –  METR</t>
  </si>
  <si>
    <t>Gestione del sistema informatico per la gestione sanzioni amministrative PROSA PROAC</t>
  </si>
  <si>
    <t>Gestione del sistema informatico per la gestione informatica di Marchi e brevetti SIMB</t>
  </si>
  <si>
    <t>Gestione del sistema informatico per inserimento dati nell'archivio Ambientale MUDA</t>
  </si>
  <si>
    <t>Gestione del sistema informatico per la gestione della riscossione diritto annuo DISAR</t>
  </si>
  <si>
    <t>Gestione del sistema informatico per la gestione dati imprese operanti con l'estero ITALIANCOM</t>
  </si>
  <si>
    <t>Gestione programma informatizzato per gestione contabilità – ORACLE</t>
  </si>
  <si>
    <t>Gestione programma informatizzato per gestione del personale lettere a)  c) SIPERT</t>
  </si>
  <si>
    <t>Gestione programma informatizzato per gestione deI BUDGET EPM</t>
  </si>
  <si>
    <t>Gestione programma informatizzato per denunce flussi di cassa trimestrali e conto annuale TRASMISSIONE TELEMATICA</t>
  </si>
  <si>
    <t>Gestione del servizio riguardante la gestione del “ciclo della Performance”</t>
  </si>
  <si>
    <t>Gestione del servizio riguardante il programma OBI Ordinativo Bancario Informatico</t>
  </si>
  <si>
    <t>Gestione programma delle presenze SELF SERVICE</t>
  </si>
  <si>
    <t>Gestione programma informatizzato per Albi e Ruoli camerali ALCA</t>
  </si>
  <si>
    <t>Gestione del sistema di Impianti Installati Conformi SIIC</t>
  </si>
  <si>
    <t>Gestione del sistema di archiviazione ottica Atti registro delle Imprese  EID3</t>
  </si>
  <si>
    <t>Gestione del sistema di estrazione dei CD tematici cd -rom EID3</t>
  </si>
  <si>
    <t>Gestione del sistema Ciclo attivo e ciclo passivo user attivate XAC (AMICO)</t>
  </si>
  <si>
    <t>Gestione del sistema Telemaco sportello telemaco e Cancellerie dei Tribunali</t>
  </si>
  <si>
    <t>Gestione del sistema di certificazione impresa CERT.IMPRESA</t>
  </si>
  <si>
    <t xml:space="preserve">Gestione del sistema della Commissione Prov.le Artigianato </t>
  </si>
  <si>
    <t>Gestione servizio Internet-Intranet camerale a) listino di base INTE</t>
  </si>
  <si>
    <t>Gestione servizio filtri WEB b) INTE</t>
  </si>
  <si>
    <t>Gestione servizio Legalcycle</t>
  </si>
  <si>
    <t>Gestione servizi Legaldoc</t>
  </si>
  <si>
    <t>Gestione servizio documentale e di Conservazione a norma SISTEMA DI PROTOCOLLO</t>
  </si>
  <si>
    <t>Gestione programma informatizzato per documentazioni camerali e pubblicazione atti web (ex Libranet) SISTEMA DELIBERE</t>
  </si>
  <si>
    <t>Gestione contratto per il servizio analisi dei bilanci societari IN BALANCE</t>
  </si>
  <si>
    <t>Gestione servizio Albo Imbottigliatori ALIM</t>
  </si>
  <si>
    <t>Gestione servizio per la certificazione e la promozione DOC e marchi collettivi ICDEIS</t>
  </si>
  <si>
    <t>Gestione servizio per antivirus server ufficio informatico</t>
  </si>
  <si>
    <t>Gestione smistatore -sistema automatico per la gestione delle pratiche telematiche SMISTATORE</t>
  </si>
  <si>
    <t>Gestione dell'assegnatore  sistema automatico per la gestione pratiche telematiche ASSEGNATORE</t>
  </si>
  <si>
    <t>Gestione del programma di monitoraggio attività produttiva del Registro Imprese MONITORAGGIO</t>
  </si>
  <si>
    <t>Gestione del programma di Gestione delle mediazioni CONCILIACAMERE</t>
  </si>
  <si>
    <t>Gestione del programma di istruttoria di qualità delle domande del Registro delle imprese ISTRUTTORIA DI QUALITA'</t>
  </si>
  <si>
    <t>Gestione del servizio per le qualifiche acconciatori artigiani ARCA</t>
  </si>
  <si>
    <t>Gestione del contratto di telematizzazione dei certificati di origine CERT'O</t>
  </si>
  <si>
    <t>Gestione del servizio di firma massiva INDI</t>
  </si>
  <si>
    <t xml:space="preserve">Contratto di manutenzione per n.3 stampanti CNS ubicate presso le sedi camerali </t>
  </si>
  <si>
    <t xml:space="preserve">Contratto di manutenzione per n.3 scanner per servizio Tachigrafo ubicati presso le sedi camerali </t>
  </si>
  <si>
    <t>Contratto di manutenzione e il servizio di Back up server con assistenza sistemistica alla rete collegamento VPN</t>
  </si>
  <si>
    <t>Contratto di manutenzione per materiali ed attrezzature switch e hardware nei server</t>
  </si>
  <si>
    <t>Acquisto in house servizio tutoring per giornata di formazione</t>
  </si>
  <si>
    <t>Forninura software PARTECIPA WORK</t>
  </si>
  <si>
    <t>Fornitura n.5000 smart card per adempimenti normativi</t>
  </si>
  <si>
    <t>Tutoring prof.</t>
  </si>
  <si>
    <t>Forninura software STARWEB</t>
  </si>
  <si>
    <t>Forninura software CAT</t>
  </si>
  <si>
    <t>Forninura software Gestione modelli COM</t>
  </si>
  <si>
    <t>Forninura elenchi Infocenter</t>
  </si>
  <si>
    <t>Forninura bollini Telemaco e carta filigranata</t>
  </si>
  <si>
    <t>Fornitura n.3000 smart card e n.3100 cartelline</t>
  </si>
  <si>
    <t>Fornitura software per imprese recupero crediti</t>
  </si>
  <si>
    <t>Fornitura token-usb</t>
  </si>
  <si>
    <t>Gestione del sistema informatico VIMER sistema di vigilanza del mercato</t>
  </si>
  <si>
    <t>Registro apparecchiature elettriche – pratiche inviate al RAEE</t>
  </si>
  <si>
    <t>Elab.e invio telem.Mod.770</t>
  </si>
  <si>
    <t>Infocamere S.p.a. Roma 02313821007</t>
  </si>
  <si>
    <t>Gest.lettere imprese cess.ICO</t>
  </si>
  <si>
    <t xml:space="preserve">Quota adesione/canoni CERC </t>
  </si>
  <si>
    <t>Servizio bollatura libri contabili NUBO</t>
  </si>
  <si>
    <r>
      <t xml:space="preserve">Gestione del servizio di navigazione visuale Registro delle Imprese 5 user-id + n.7 accessi per forze dell'ordine Prefettura per progetto legalità </t>
    </r>
    <r>
      <rPr>
        <sz val="10"/>
        <color indexed="8"/>
        <rFont val="Arial"/>
        <family val="2"/>
      </rPr>
      <t>RI-Visual Camerale + Ri-Build e Ri-Map</t>
    </r>
  </si>
  <si>
    <t>Gestione del servizio di anagrafica unica (ANUN)</t>
  </si>
  <si>
    <t>Gestione del sistema tracciabilità rifiuti (SIST)</t>
  </si>
  <si>
    <t>2° acconto del 40% e saldo per la realizzazione del progetto marchio di qualità nelle imprese del settore turistico</t>
  </si>
  <si>
    <t>IS.NA.R.T. S.c.p a. Istituto Nazionale Ricerche Turistiche Roma  04416711002</t>
  </si>
  <si>
    <t>Realizzazione del progetto marchio di qualità nelle imprese del settore turistico anno 2013</t>
  </si>
  <si>
    <t>Progetto Ciao Impresa</t>
  </si>
  <si>
    <t>Retecamere S.Cons.r.l. Roma 08618091006</t>
  </si>
  <si>
    <t>Progetto Customer satisfaction 2013</t>
  </si>
  <si>
    <t>Abbonamento banca dati Thesaurus Plus sulle agevolazioni a carattere comunitario, nazionale e regionale</t>
  </si>
  <si>
    <t xml:space="preserve">Servizio di Portierato e reception  </t>
  </si>
  <si>
    <t>Tecnoservicecamere S.c.a.r.l. Milano  04786421000</t>
  </si>
  <si>
    <t>Adesione alla piattaforma Progetto Ciao Impresa</t>
  </si>
  <si>
    <t>Sistema Camerale Servizi S.r.l. Roma 12620491006</t>
  </si>
  <si>
    <t>Tutoring professionale per budget e chiusura bilancio</t>
  </si>
  <si>
    <t>Tutoring AGEF</t>
  </si>
  <si>
    <t>ZD50E7BEBF</t>
  </si>
  <si>
    <t>Fornitura n.3 bandiere  tramite MePA Consip</t>
  </si>
  <si>
    <t>Adria Bandiere S.r.l. Cesenatico (FC) 02205060409</t>
  </si>
  <si>
    <t>Z880F36DFE</t>
  </si>
  <si>
    <t>Fornitura n.2000 buste verdi per notifiche con intestazione  tramite MePA Consip</t>
  </si>
  <si>
    <t>Z330FA18A1</t>
  </si>
  <si>
    <t>Fornitura n.16 batterie al piombo e n.3 cuffie con microfono  tramite MePA Consip</t>
  </si>
  <si>
    <t>Z780D8A143</t>
  </si>
  <si>
    <t>Fornitura materiale di cancelleria RDO n.408335 tramite MePA Consip</t>
  </si>
  <si>
    <t>ZA50D7497B</t>
  </si>
  <si>
    <t>ZA00E53EEC</t>
  </si>
  <si>
    <t>Europa Systems S.r.l. Forlimpopoli (FC) 02060730401</t>
  </si>
  <si>
    <t>Z990D8A05A</t>
  </si>
  <si>
    <t>Fornitura di misura di capacità da 20 litri europea con contenitore in legno antiurto RDO n.408445 tramite MePA Consip</t>
  </si>
  <si>
    <t>Gibertini Elettronica S.r.l. 04434200152</t>
  </si>
  <si>
    <t>Gibertini Elettronica S.r.l. Novate Milanese (MI) 04434200152</t>
  </si>
  <si>
    <t>Z960F60E72</t>
  </si>
  <si>
    <t>Rilegatura di n.18 volumi tramite MePA Consip</t>
  </si>
  <si>
    <t>ZC90D89F90</t>
  </si>
  <si>
    <t>Fornitura di n.280.000 fogli di carta A4 ecologica intestata Registro Imprese RDO n.408396 tramite MePA Consip</t>
  </si>
  <si>
    <t>Tipolitografia Scaletta S.r.l. 00114360399, Tipolitostear S.n.c.di Plazzi e Casali Ravenna 01361300393, Full Print s.r.l. 01390090395, Tipolitogravia Valbonesi S.n.c. Di Assirelli Gianluca Marco &amp; C. 00206130403, Tipografia Romagna di Ponseggi Andrea &amp; C. S.a.s. 00717900395, Tipolitografia Valgimigli di Valgimigli Valfrido &amp; C. s.n.c. 00093260396</t>
  </si>
  <si>
    <t>Full Print s.r.l. Ravenna 01390090395</t>
  </si>
  <si>
    <t>ZCB0D86F1F</t>
  </si>
  <si>
    <t>Fornitura n.2.000 etichette verdi adesive anno 2019 per verifiche periodiche dell'ufficio Metrico RDO n.408462 tramite MePA Consip</t>
  </si>
  <si>
    <t>Laser Lab S.r.l. 02447360120, Sigiltech S.r.l. 01520041003</t>
  </si>
  <si>
    <t>Z210D888D5</t>
  </si>
  <si>
    <t>Fornitura di gas naturaleper le sedi camerali tramite convenzione Consip</t>
  </si>
  <si>
    <t>Trenta S.p.a. Trento 01813026224 in RTI con Multiutility S.p.a. Verona 03027910235</t>
  </si>
  <si>
    <t>569336596B</t>
  </si>
  <si>
    <t>Fornitura servizi convergenti ed integrati di trasmissione dati e voce su reti fisse e mobili tramite convenzione Intercent-er</t>
  </si>
  <si>
    <t>Z9F0D77206</t>
  </si>
  <si>
    <t>Servizio per il rinnovo della Certificazione di Sistema di Gestione per le attività necessarie al suo mantenimento con riferimento alla norma UNI EN ISO 9001:2008</t>
  </si>
  <si>
    <t>Z620D7728B</t>
  </si>
  <si>
    <t>Rinnovo della Attestazione di sistema con riferimento alla norma 1221/2009 – Regolamento EMAS</t>
  </si>
  <si>
    <t>ZD60C53A0D</t>
  </si>
  <si>
    <t>Servizio di assistenza per il mantenimento e lo sviluppo del Sistema di Gestione per la qualità con riferimento alla norma UNI EN ISO 9001:2008</t>
  </si>
  <si>
    <t>Z590EE1651</t>
  </si>
  <si>
    <t>Servizio di raccolta pubblicitaria relativo al periodico camerale Systema</t>
  </si>
  <si>
    <t>Realizzazione del progetto marchio di qualità nelle imprese del settore turistico “Ospitalità italiana”</t>
  </si>
  <si>
    <t>Z040F05F4C</t>
  </si>
  <si>
    <t>Adesione al servizio assistenza per il mantenimento e lo sviluppo del sistema di gestione per l'ambiente con riferimento alla norma UNI EN ISO 14001:2004</t>
  </si>
  <si>
    <t>Z730F281EC</t>
  </si>
  <si>
    <t>Servizio redazionale televisivo in occasione della 12^ Giornata dell'Economia</t>
  </si>
  <si>
    <t>ZD50F738D2</t>
  </si>
  <si>
    <t>Spazio pubblicitario comunicativo del magazine nazionale Italiapiù</t>
  </si>
  <si>
    <t>Publiscoop Più S.r.l. Castelfranco Veneto (TV) 03431690266</t>
  </si>
  <si>
    <t>Z0B0F71406</t>
  </si>
  <si>
    <t>Spazio nel settimanale Ravenna24weekly per la promozione del convegno della 12^ Giornata dell'Economia</t>
  </si>
  <si>
    <t>ZDD0D5027D</t>
  </si>
  <si>
    <t>Servizio di recupero crediti stragiudiziale per le violazioni relative al diritto annuale anno 2011</t>
  </si>
  <si>
    <t>Z5C0C96832</t>
  </si>
  <si>
    <t>Corso di formazione su incarichi a personale esterno</t>
  </si>
  <si>
    <t>Maggioli S.p.a. Santarcangelo di Romagna RN 06188330150</t>
  </si>
  <si>
    <t>Z2007EBF6F</t>
  </si>
  <si>
    <t>Servizio di corriere oggetti preziosi</t>
  </si>
  <si>
    <t>B.T.V. S.p.a. Vicenza 03277970244</t>
  </si>
  <si>
    <t>00/00/0000</t>
  </si>
  <si>
    <t>ZC90D508DD</t>
  </si>
  <si>
    <t>Assicurazione della responsabilità civile e patrimoniale della Pubblica Amministrazione</t>
  </si>
  <si>
    <t>Z810EE3F7E</t>
  </si>
  <si>
    <t>Contratto di assicurazione a copertura della Responsabilità Civile professionale degli Organismi di Conciliazione</t>
  </si>
  <si>
    <t>Corso di aggiornamento Rappresentante dei lavoratori per la sicurezza</t>
  </si>
  <si>
    <t>Irecoop Emilia Romagna Soc.Coop. Bologna 80152680379</t>
  </si>
  <si>
    <t>Fornitura formulari per certificati d'origine e modulistica per Carnet ATA</t>
  </si>
  <si>
    <t>Unione Italiana delle Camere di Commercio Industria Artigianato Agricoltura Roma 01484460587</t>
  </si>
  <si>
    <t>Z4F0EC0712</t>
  </si>
  <si>
    <t>Partecipazione a web conference “procacciatori di affari e mediatori – divieto di localizzazione attività di mediazione”</t>
  </si>
  <si>
    <t>Fondazione Istituto Guglielmo Tagliacarne Roma 07552810587</t>
  </si>
  <si>
    <t>In house providing</t>
  </si>
  <si>
    <t>Art.4 D.L.138/2011</t>
  </si>
  <si>
    <t>Affidamento diretto</t>
  </si>
  <si>
    <t>Art.125 D.Lgs.163/2006</t>
  </si>
  <si>
    <t>Convenzione Consip</t>
  </si>
  <si>
    <t>Art.59 D.Lgs.163/2006</t>
  </si>
  <si>
    <t>Convenzione Intercent-er</t>
  </si>
  <si>
    <t>Mercato Elettronico Consip</t>
  </si>
  <si>
    <t>Procedura negoziata</t>
  </si>
  <si>
    <t>Art.57 D.Lgs.163/2006</t>
  </si>
  <si>
    <t>Accordo tra PP.AA.</t>
  </si>
  <si>
    <t>Art.15 L.241/1990</t>
  </si>
  <si>
    <t>Il servizio di analisi di laboratorio con controllo documentale su giocattoli</t>
  </si>
  <si>
    <t>Il servizio di analisi documentale su prodotto elettrico</t>
  </si>
  <si>
    <t>ISTITUTO GIORDANO S.p.A. Rimini 00549540409</t>
  </si>
  <si>
    <t>ECO Certificazioni S.p.A. Faenza 01358950390</t>
  </si>
  <si>
    <t>Z381064CC5</t>
  </si>
  <si>
    <t>Servizio di recapito relativo informative e prodotti tramite raccomandata per alcune tipologie di informative e prodotti</t>
  </si>
  <si>
    <t>Z130FCCFFB</t>
  </si>
  <si>
    <t>Fornitura ed installazione ai piani di n.35 estintori a polvere da kg.6 omologati EN 3-7 per fuochi di classe 34 A 233 BC e smaltimento di altrettanti estintori</t>
  </si>
  <si>
    <t>Nuova Olp S.r.l. Ravenna 00597320399</t>
  </si>
  <si>
    <t>Z61103457C</t>
  </si>
  <si>
    <t>L'organizzazione del XXVII° Convegno peschicolo del 23 e 24 ottobre 2014 a Ravenna</t>
  </si>
  <si>
    <t>C.S.O. Centro Servizi Ortofrutticoli Ferrara 01433020383</t>
  </si>
  <si>
    <t>ZF8104888F</t>
  </si>
  <si>
    <t>Servizio giornaliero di consegna a domicilio della corrispondenza per il periodo dal 01.09.2014 al 31.08.2015</t>
  </si>
  <si>
    <t>Poste Italiane S.p.a. Roma 97103880585</t>
  </si>
  <si>
    <t>Z4F1048917</t>
  </si>
  <si>
    <t>Servizio di ritiro della corrispondenza denominato Poste Pick Up Light per il periodo dal 01.09.2014 al 31.08.2015</t>
  </si>
  <si>
    <t>Z0B106F316</t>
  </si>
  <si>
    <t>L'organizzazione completa e operativa di tutti i servizi del piano di marketing turistico del territorio delle Camere di commercio di Ravenna e Forlì-Cesena per l'anno 2014</t>
  </si>
  <si>
    <t>consorzio Ravenna Incoming Convention &amp; Visitors Bureau Ravenna 02095290397</t>
  </si>
  <si>
    <t>Z5A10D8937</t>
  </si>
  <si>
    <t>Fornitura di materiale di cancelleria per l'anno 2014</t>
  </si>
  <si>
    <t>Europa Systems Forlimpopoli (FC) 02060730401</t>
  </si>
  <si>
    <t>ZF210D8901</t>
  </si>
  <si>
    <t>Servizio di spedizione via web di posta prioritaria, raccomandate e telegrammi</t>
  </si>
  <si>
    <t>Z7F104950C</t>
  </si>
  <si>
    <t>Servizio delle attività propedeutiche alla spedizione della corrispondenza, compresa l'apposizione manuale sugli invii di francobollo, etichette adesive e codice a barre</t>
  </si>
  <si>
    <t>ZF610F4D19</t>
  </si>
  <si>
    <t>L'acquisto di n.3 personal computer portatili di alta mobilità con n.3 seconde batterie e n. 3 usb memory key ed il ritiro gratuito per lo smaltimento sino a n.3 apparecchiature informatiche usate</t>
  </si>
  <si>
    <t>New Line S.p.a. Reggio nell'Emilia 01157370352</t>
  </si>
  <si>
    <t>Z85111364A</t>
  </si>
  <si>
    <t>La fornitura di n.1 monitor tv LG codice w5502xpalit con n.2 schede pci e cavi hdmi e n.2 schede di memoria 4 GB</t>
  </si>
  <si>
    <t>5835548E89</t>
  </si>
  <si>
    <t>Day Ristoservice S.p.a. Bologna 03543000370</t>
  </si>
  <si>
    <t>Fornitura del servizio sostitutivo di mensa per i dipendenti camerali mediante buoni pasto cartacei</t>
  </si>
  <si>
    <t>Z961165ABD</t>
  </si>
  <si>
    <t>Fornitura alle sedi camerali di energia elettrica "verde" proveniente da fonti rinnovabili per l'anno 2015</t>
  </si>
  <si>
    <t>ZE11162D43</t>
  </si>
  <si>
    <t>L'effettuazione delle verifiche degli impianti di messa a terra della sede di Ravenna e dell'archivio camerale</t>
  </si>
  <si>
    <t>Servizio Sanitario Regionale Emilia Romagna - Unità Operativa Impiantistica Antinfortunistica Ravenna 02483810392</t>
  </si>
  <si>
    <t>598330182D</t>
  </si>
  <si>
    <t>Servizio di somministrazione di lavoro a tempo determinato per gli anni 2015 2016 e 2017</t>
  </si>
  <si>
    <t>Openjobmetis S.p.a. di Milano, Obiettivo Lavoro S.p.a. di Milano, Oasi Lavoro S.p.a. di Bologna, Intempo S.p.a. di Milano e Adecco Italia S.p.a. di Milano</t>
  </si>
  <si>
    <t>OASI LAVORO S.p.A.  Bologna 02552531200</t>
  </si>
  <si>
    <t>Z7B11AF4D9</t>
  </si>
  <si>
    <t>Con.S.A.R Ravenna 00175490390</t>
  </si>
  <si>
    <t>Z7011B07A3</t>
  </si>
  <si>
    <t>Servizio di manutenzione parete scorrevole in cristallo serie verticale by Loch</t>
  </si>
  <si>
    <t>Servizio di autospurgo fosse settiche e caditoie</t>
  </si>
  <si>
    <t>ESTFELLER PARETI S.r.l. Ora (BZ) 02827340213</t>
  </si>
  <si>
    <t>Servizio di reception presso la sede camerale</t>
  </si>
  <si>
    <t>Tecnoservicecamere S.C.p.A. Roma 04786421000</t>
  </si>
  <si>
    <t>Adesione alla nuova Convenzione per il trasferimento ad altri soggetti del sistema camerale dell'esperienza organizzativa e tecnologica maturata presso la Camera di commercio di Ferrara nella gestione del portale Internet</t>
  </si>
  <si>
    <t>ZCF11AF5EB</t>
  </si>
  <si>
    <t>Fornitura del servizio di manutenzione agli impianti elettrici delle sedi camerali per il triennio 2015/2017</t>
  </si>
  <si>
    <t>P.I.E. di Passalacqua Davide e C. S.n.c. Ravenna 01229750391</t>
  </si>
  <si>
    <t>Z3F11AFD30</t>
  </si>
  <si>
    <t>Fornitura del servizio di manutenzione a n.4 bollatrici in uso presso le sedi camerali per il triennio 2015/2017</t>
  </si>
  <si>
    <t>Z6411AFE56</t>
  </si>
  <si>
    <t>Servizio di corriere fra le sedi camerali</t>
  </si>
  <si>
    <t>Aelleci Transport GLS S.r.l. Ravenna 01137670392</t>
  </si>
  <si>
    <t>ZC11251D4A</t>
  </si>
  <si>
    <t>Servizio di rilevamento dati su campione di 700 imprese e di 80 stakeholder e report</t>
  </si>
  <si>
    <t>Si.Camera S.r.l. Roma 12620491006</t>
  </si>
  <si>
    <t>ZD611AFABF</t>
  </si>
  <si>
    <t>Servizio di facchinaggio</t>
  </si>
  <si>
    <t>CO.FA.RI. Soc.Coop Ravenna 00176150399</t>
  </si>
  <si>
    <t>ZD11169BAA</t>
  </si>
  <si>
    <t>L'acquisto dello spazio espositivo temporaneo di 24mq c/o Offshore Mediterranean Conference 2015</t>
  </si>
  <si>
    <t>Z2A11AFB73</t>
  </si>
  <si>
    <t>Fornitura del servizio di manutenzione ai sistemi di allarme antincendio, antintrusione e videosorveglianza delle sedi camerali</t>
  </si>
  <si>
    <t>Tecno Allarmi Sistemi S.r.l. Ravenna 02137460396</t>
  </si>
  <si>
    <t>Z6911AFCBE</t>
  </si>
  <si>
    <t>Fornitura del servizio di cabina di Media Tensione presso la sede camerale di Ravenna</t>
  </si>
  <si>
    <t>Russo Impianti S.r.l. Ravenna 02482340391</t>
  </si>
  <si>
    <t>Z3A11B01B9</t>
  </si>
  <si>
    <t>Fornitura del servizio di manutenzione agli impianti antincendio (estintori portatili, cassette antincendio/idranti a parete, idranti soprasuolo/porte di sicurezza e tagliafuoco) delle sedi camerali</t>
  </si>
  <si>
    <t>Z191238346</t>
  </si>
  <si>
    <t>servizio di attività editoriale relativa alla realizzazione della rivista systema della Camera di commercio di Ravenna</t>
  </si>
  <si>
    <t>Mistral Comunicazione Globale S.a.s. di Venturelli Maria Vittoria &amp; C. Ravenna 01263200394</t>
  </si>
  <si>
    <t>ZE811B0676</t>
  </si>
  <si>
    <t>Fornitura del servizio di manutenzione ordinaria agli impianti elevatori delle sedi camerali</t>
  </si>
  <si>
    <t>BAMA S.r.l. Cervia 00695020396</t>
  </si>
  <si>
    <t>Z8311B06B1</t>
  </si>
  <si>
    <t>Fornitura del servizio di manutenzione specializzata alle attrezzature hardware e software in uso presso le sedi camerali</t>
  </si>
  <si>
    <t>Computer Doctor S.n.c. di Benini Marco Alieto Ravenna 01116500396</t>
  </si>
  <si>
    <t>ZE312768EE</t>
  </si>
  <si>
    <t>Fornitura di n.1 batteria per pc portatile HP Elitepad</t>
  </si>
  <si>
    <t>Z321275E7B</t>
  </si>
  <si>
    <t>Fornitura dell'upgrade della licenza backup Exec con agent Win e Linux per il server camerale</t>
  </si>
  <si>
    <t>Business-e S.p.a. Ravenna 02019960398</t>
  </si>
  <si>
    <t>Realizzazione di un seminario formativo/informativo in tema di Fatturazione Elettronica</t>
  </si>
  <si>
    <t>ZCA11AFD65</t>
  </si>
  <si>
    <t>Fornitura di stampati tipografici</t>
  </si>
  <si>
    <t>Tipolito Stear di Plazzi Massimo - Casali Gianni S.n.c. Ravenna 01361300393</t>
  </si>
  <si>
    <t>Citypost. S.p.A. Vecchiano (PI) 01528040502</t>
  </si>
  <si>
    <t>ZF81074A7F</t>
  </si>
  <si>
    <t>L'organizzazione e realizzazione del seminario formativo "Introduzione all'Open Leadership"</t>
  </si>
  <si>
    <t>Forma del Tempo S.r.l. Bologna 04290600370</t>
  </si>
  <si>
    <t>ZDA10B9366</t>
  </si>
  <si>
    <t xml:space="preserve">Servizio di certificazione di taratura LAT per Massa Campione classe F1 da 20 kg. </t>
  </si>
  <si>
    <t>Gibertini Elettronica s.r.l. Novate Milanese (MI) 04434200152</t>
  </si>
  <si>
    <t>Servizio di certificazione di taratura LAT per serbatoi campione da 10 e 50 litri</t>
  </si>
  <si>
    <t>Camera di Commercio di Prato 01662670973</t>
  </si>
  <si>
    <t>ZED10CF882</t>
  </si>
  <si>
    <t>Servizio di ospitalità e promozione dei prodotti del territorio in occasione della Convention dei Conservatori del Registro delle Imprese</t>
  </si>
  <si>
    <t>Parco delle Saline di Cervia s.r.l. Cervia (RA) 02112170390</t>
  </si>
  <si>
    <t>Z3F11469B9</t>
  </si>
  <si>
    <t>C.A.B. Cooperativa Agricola Brisighellese Brisighella (RA) 00082670399</t>
  </si>
  <si>
    <t>Z771177C72</t>
  </si>
  <si>
    <t>Servizio di analisi documentale su prodotto elettrico</t>
  </si>
  <si>
    <t>Elettra s.r.l. di Calenzano (FI) 05541190483</t>
  </si>
  <si>
    <t>ZF911469DA</t>
  </si>
  <si>
    <t>Servizio di guida turistica di alcuni monumenti di Ravenna in occasione della Convention dei Conservatori del Registro delle Imprese</t>
  </si>
  <si>
    <t>Società Cooperativa il Papavero di Ravenna 00871530390</t>
  </si>
  <si>
    <t>Z6811469FD</t>
  </si>
  <si>
    <t>Servizio di ospitalità in occasione della Convention dei Conservatori del Registro delle Imprese</t>
  </si>
  <si>
    <t>Società Mariani s.r.l. Ravenna 01143050393</t>
  </si>
  <si>
    <t>Z2C11553D6</t>
  </si>
  <si>
    <t>Servizio di noleggio autobus con conducente in occasione della Convention dei Conservatori del Registro delle Imprese</t>
  </si>
  <si>
    <t>Start Romagna S.p.A. Cesena 03836450407</t>
  </si>
  <si>
    <t>Z5811EFAB6</t>
  </si>
  <si>
    <t>Servizio di rilascio del rapporto di prova su prodotto calzatura</t>
  </si>
  <si>
    <t>Agenzia delle Dogane e dei Monopoli Roma  00930050588</t>
  </si>
  <si>
    <t>Z4511EFA7E</t>
  </si>
  <si>
    <t>Servizio di rilascio di analisi per verifica su prodotto tessile</t>
  </si>
  <si>
    <t>Azienda speciale della Camera di Commercio di Milano Innovhub Milano 97425580152</t>
  </si>
  <si>
    <t>Z3E1225D4D</t>
  </si>
  <si>
    <t>Realizzazione “pillole” video interviste per il Comitato dell'Imprenditoria Femminile</t>
  </si>
  <si>
    <t>Dr. Angelantonio Pariano Russi (RA) PRNNLN79D06D122Y</t>
  </si>
  <si>
    <t>5693678BB6</t>
  </si>
  <si>
    <t>procedura aperta per l'aggiudicazione di un appalto pubblico avente ad oggetto la progettazione esecutiva e la realizzazione di interventi di riqualificazione energetica ed uso di fonti rinnovabili</t>
  </si>
  <si>
    <t>Tecnoimpianti S.r.l. Volla (NA) 06735390632,   F.lli Pilati S.r.l. Castelfranco Emilia (MO) 01133980365, Elettra Impianti S.r.l.00472440395,  R.T.I. , AR.CO. Lavori Soc.Cons.Coop. Ravenna 01468160393 (Capogruppo)/C.E.I.R. Soc.Cons.Coop. Ravenna 00085050391</t>
  </si>
  <si>
    <t>R.T.I. AR.CO. Lavori Soc.Cons.Coop Ravenna 01468160393 (Capogruppo)/C.E.I.R. Soc.Cons.Coop. Ravenna 00085050391</t>
  </si>
  <si>
    <t>Z4B1154F72</t>
  </si>
  <si>
    <t>Corso di formazione a Bologna sulla fatturazione elettronica del 16.10.2014</t>
  </si>
  <si>
    <t xml:space="preserve">Caldarini &amp; Associati s.r.l. Reggio Emilia 02365460357 </t>
  </si>
  <si>
    <t>Z950CB484D</t>
  </si>
  <si>
    <t>Z0A120875E</t>
  </si>
  <si>
    <t>Partecipazione del Dott. Finetto al corso per aggiornamento RLS del 3.12.2014</t>
  </si>
  <si>
    <t xml:space="preserve">Irecoop Emilia Romagna Soc. Coop. Bologna 80152680379 </t>
  </si>
  <si>
    <t>ZE40F3AD07</t>
  </si>
  <si>
    <t>Servizio di predisposizione, stampa ed imbustamento relativo alle principali procedure informative delle Camere di Commercio Italiane</t>
  </si>
  <si>
    <t>Leaderform S.p.A. Sona (VR) 02696070230</t>
  </si>
  <si>
    <t>Z660F3AD62</t>
  </si>
  <si>
    <t>Accordo quadro Infocamere - Poste Italiane per il mailing del diritto annuale</t>
  </si>
  <si>
    <t>Z10103763F</t>
  </si>
  <si>
    <t xml:space="preserve">Fornitura buoni libro regalo da destinare a studenti meritevoli </t>
  </si>
  <si>
    <t xml:space="preserve">Contratto per la gestione dei servizi di videoconferenza su pc </t>
  </si>
  <si>
    <t>Z3915ECFAC</t>
  </si>
  <si>
    <t>collaudo tecnico amministrativo riguardante l'intervento di riqualificazione energetica ed uso di fonti rinnovabili di energia in alcuni edifici di proprietà della Camera di Commercio di Ravenna</t>
  </si>
  <si>
    <t>Z021638A6F</t>
  </si>
  <si>
    <t>Servizio di raccolta pubblicitaria relativo al periodico camerale Systema per il 2015</t>
  </si>
  <si>
    <t>Publimedia Italia s.r.l. Ravenna 01108930395</t>
  </si>
  <si>
    <t>Z4212C3920</t>
  </si>
  <si>
    <t>Allestimento di uno stand espositivo corredato di tutto, durante la manifestazione OMC 2015</t>
  </si>
  <si>
    <t>Allestimenti &amp; Pubblicità S.p.A. Imola (B0) 01513391209</t>
  </si>
  <si>
    <t>ZA312D02C6</t>
  </si>
  <si>
    <t>Servizio di rilascio del Certificato di Prestazione Energetica dell'immobile di proprietà camerale sito in via Laghi 59/5 a Faenza</t>
  </si>
  <si>
    <t>Geom. Claudio Bubani Bagnacavallo (RA) BBNCLD55L18A547C</t>
  </si>
  <si>
    <t>Z07130A16E</t>
  </si>
  <si>
    <t>Fornitura di gas naturale alle sedi camerali</t>
  </si>
  <si>
    <t>ZD3130B037</t>
  </si>
  <si>
    <t>Adesione alla piattaforma Ciao Impresa gestito su mandato di Unioncamere dal Gruppo di Lavoro Ciao Impresa della società Si.Camera S.r.l. per l'anno 2015</t>
  </si>
  <si>
    <t>ZE51301A27</t>
  </si>
  <si>
    <t>Fornitura di carta bianca per fotocopiatrici certificata PEFC</t>
  </si>
  <si>
    <t>Europa Systems S.r.l. Forlimpopoli 02060730401</t>
  </si>
  <si>
    <t>Z6811C16D9</t>
  </si>
  <si>
    <t>Gestione della biblioteca della Camera di commercio di Ravenna</t>
  </si>
  <si>
    <t>ZC11302BE7</t>
  </si>
  <si>
    <t>Servizio di valutazione del prezzo di mercato sia per una eventuale vendita che locazione dell'immobile di proprietà camerale sito in via Laghi 59/5 a Faenza</t>
  </si>
  <si>
    <t>Agenzia Immobiliare Baccarini Faenza 02038710394</t>
  </si>
  <si>
    <t>ZF81341223</t>
  </si>
  <si>
    <t>Fornitura di n.4 fotografie del Presidente della Repubblica Prof.Avv.Sergio Mattarella</t>
  </si>
  <si>
    <t>S.F.E.L. Servizi e Forniture per Enti Locali S.n.c. di Canavese Bruno &amp; C. Cavallermaggiore (CN) 00163810047</t>
  </si>
  <si>
    <t>ZBE133FD9A</t>
  </si>
  <si>
    <t>Servizio di rilascio del parere di congruità tecnico economica di perizia di stima redatta da terzi in merito alla valutazione del prezzo di mercato di vendita e di locazione dell'immobile sito in via Laghi 59/5 a Faenza</t>
  </si>
  <si>
    <t>Agenzia delle Entrate - Ufficio Provinciale di Ravenna - Territorio - 06363391001</t>
  </si>
  <si>
    <t>Z6C1380290</t>
  </si>
  <si>
    <t>Fornitura di cartucce toner rigenerati per stampanti laserjet</t>
  </si>
  <si>
    <t>Ecorefill S.r.l. Empoli 02279000489</t>
  </si>
  <si>
    <t>Servizio antivirus Server e Client e rinnovo licenze anno 2015</t>
  </si>
  <si>
    <t>Servizio di videoconferenza H323 con possibilità di fruizione tramite pc (CMA Desktop)</t>
  </si>
  <si>
    <t>Z6A1418C5F</t>
  </si>
  <si>
    <t>Fornitura del servizio di noleggio fotocopiatrici</t>
  </si>
  <si>
    <t>Xerox S.p.a. Sesto San Giovanni (MI) 00747880151</t>
  </si>
  <si>
    <t>Servizio di analisi dello scarico acque nere</t>
  </si>
  <si>
    <t>Acquisto di n.8 caraffe da utilizzare di volta in volta con acqua microfiltrata</t>
  </si>
  <si>
    <t>Servizio di vigilanza prestato il 16.04.2015 in occasione di un convegno serale presso la sala Cavalcoli</t>
  </si>
  <si>
    <t>Servizio manutenzioni varie di falegnameria</t>
  </si>
  <si>
    <t xml:space="preserve">Falegnameria Brighi di Gasponi Sergio e C. S.n.c. Ravenna 00430470393 </t>
  </si>
  <si>
    <t>Z2213DC3DF</t>
  </si>
  <si>
    <t>Servizio di sorveglianza sanitaria a nomina del Medico Competente ai sensi del D.Lgs. n. 81/2008</t>
  </si>
  <si>
    <t>ZD713DCE6B</t>
  </si>
  <si>
    <t>Servizio di responsabile del servizio di prevenzione e protezione conformemente al D.Lgs.n.81/2008</t>
  </si>
  <si>
    <t>Studio CETUS S.r.l. Ravenna 02520010394</t>
  </si>
  <si>
    <t>Realizzazione della Tredicesima Giornata dell'Economia – 28 maggio 2015</t>
  </si>
  <si>
    <t>Dott. Andrea Bruno Granelli Bergamo GRNNRB60S13A794O</t>
  </si>
  <si>
    <t>ZA8148337D</t>
  </si>
  <si>
    <t>Lavori di manutenzione dei 2 portoni in legno del Palazzo Loreta che si affacciano in via di Roma</t>
  </si>
  <si>
    <t>Palmieri Claudio Ravenna PLMCLD87E03H199M</t>
  </si>
  <si>
    <t>ZD114640B2</t>
  </si>
  <si>
    <t>Fornitura di un servizio redazionale televisivo della durata di 10 minuti in occasione della XIII Giornata dell'Economia</t>
  </si>
  <si>
    <t>Z26147719D</t>
  </si>
  <si>
    <t>Fornitura di n.1 lampada art.VLT-X400LP per il proiettore posto nella sala Consiglio del Palazzo Loreta</t>
  </si>
  <si>
    <t>RL3 S.r.l. Roma 09653091000</t>
  </si>
  <si>
    <t>ZDF15547E8</t>
  </si>
  <si>
    <t>Z2F1557C7A</t>
  </si>
  <si>
    <t>Installazione di nuove caldaie murali e nuove canne fumarie che rendano indipendenti i locali ubicati ai civici n.2 e n.4. di Viale Farini</t>
  </si>
  <si>
    <t>N.T.A. Nuove Tecnologie Applicate s.r.l. Ravenna 00734580392</t>
  </si>
  <si>
    <t>Z5B15B4CEC</t>
  </si>
  <si>
    <t>Servizio di ritiro della corrispondenza denominato Poste Pick Up Light</t>
  </si>
  <si>
    <t>ZF615B5753</t>
  </si>
  <si>
    <t>Servizio giornaliero di consegna a domicilio della corrispondenza</t>
  </si>
  <si>
    <t>ZCC15B57C5</t>
  </si>
  <si>
    <t>Servizio denominato Posta Easy Basic per lo svolgimento delle attività propedeutiche alla spedizione consistenti nella preparazione e nell'allestimento della corrispondenza</t>
  </si>
  <si>
    <t>Lavori di manutenzione interna dei telai degli infissi di Palazzo Manzone in Viale Farini integrati con lavori di tinteggiatura a pittura per ripristino di alcuni soffitti e pareti a seguito di infiltrazioni di acqua</t>
  </si>
  <si>
    <t>Z1C15F812A</t>
  </si>
  <si>
    <t>Servizio di assistenza per il mantenimento e lo sviluppo del Sistema di Gestione per l'Ambiente dell'Ente camerale ai fini del conseguimento del rinnovo della certificazione ambientale</t>
  </si>
  <si>
    <t>EQO S.r.l. Bologna 02064131200</t>
  </si>
  <si>
    <t>ZF41630C78</t>
  </si>
  <si>
    <t>Integrazione alla pratica inviata a alla Soprintendenza per i Beni Archettonici e Paessaggistici per la Provincia di Ravenna, relativa alla richiesta di parere preventivo a seguito di progettazione preliminare per la sostituzione di serramenti al piano terra del Palazzo Manzone soggetti a tutela indiretta e della successiva redazione del Consuntivo Scientifico finale</t>
  </si>
  <si>
    <t>Arch. Ing. Rizzieri Giampaolo Rovigo RZZGPL81P05H620H</t>
  </si>
  <si>
    <t>ZCE162EAB2</t>
  </si>
  <si>
    <t>Fornitura di materiale vario di cancelleria</t>
  </si>
  <si>
    <t>Z1B169D342</t>
  </si>
  <si>
    <t>Fornitura alle sedi camerali di energia elettrica "verde" proveniente da fonti rinnovabili per l'anno 2016</t>
  </si>
  <si>
    <t>Z36166819B</t>
  </si>
  <si>
    <t>Fornitura di n.34 medaglie in oro coniate per la premiazione “Fedeltà al Lavoro e Progresso Economico”, di n.1 medaglia in oro coniata per la premiazione “Premio Teodorico” e di n.5 astucci in crepet rosso</t>
  </si>
  <si>
    <t>Z1816C3C25</t>
  </si>
  <si>
    <t>Servizio di brokeraggio assicurativo</t>
  </si>
  <si>
    <t>ASSITECA S.p.A. Milano 09743130156</t>
  </si>
  <si>
    <t>Proroga del servizio di acquisto di biglietti ferroviari denominato "Corporate Travel"</t>
  </si>
  <si>
    <t>Trenitalia S.p.A. Roma 05403151003</t>
  </si>
  <si>
    <t>Z1A1714AE7</t>
  </si>
  <si>
    <t>Servizio di verifica periodica biennale agli ascensori prevista dal D.P.R.n.162/99 con n.2 verifiche previste nel 2016 ed altrettante nel 2017</t>
  </si>
  <si>
    <t>Eco Certificazioni S.p.a. Faenza 01358950390</t>
  </si>
  <si>
    <t>Z1412C387E</t>
  </si>
  <si>
    <t>Fornitura di n.500 etichette adesive distruttibili alla rimozione anno 2018, n.500 etichette adesive distruttibili alla rimozione anno 2020 e n.500 sigilli ufficio 54, per le verifiche periodiche dell'ufficio Metrico ai sensi della L.n.182/2000</t>
  </si>
  <si>
    <t>Laser Lab S.r.l. Legnano 02447360120</t>
  </si>
  <si>
    <t>ZAE16837DD</t>
  </si>
  <si>
    <t>Acquisto di spazi comunicativi per la promozione del seminario “Tomorrow, now”</t>
  </si>
  <si>
    <t>Reclam Edizioni &amp; Comunicazioni Srl Ravenna 02073810398</t>
  </si>
  <si>
    <t>Servizio di ravvedimento operoso per il diritto annuale 2015</t>
  </si>
  <si>
    <t>Z3F1730739</t>
  </si>
  <si>
    <t>Partecipazione al corso formativo riguardante "I fondi per la contrattazione integrativa"</t>
  </si>
  <si>
    <t>Pubbliformez S.a.s. Catania 03635090875</t>
  </si>
  <si>
    <t>ZC51730710</t>
  </si>
  <si>
    <t>Partecipazione in web conference al corso formativo riguardante "L'aggiornamento del piano nazionale anticorruzione operato con determinazione ANAC n.12 del 28.10.2015"</t>
  </si>
  <si>
    <t>Istituto Tagliacarne Roma 07552810587</t>
  </si>
  <si>
    <t>Z2517660FD</t>
  </si>
  <si>
    <t>Partecipazione al corso anuale di aggiornamento per Responsabile Lavoratori per la Sicurezza RLS</t>
  </si>
  <si>
    <t>Irecoop Emilia Romagna Soc.Coop. Bologna  80152680379</t>
  </si>
  <si>
    <t>Z3F17A097B</t>
  </si>
  <si>
    <t>Fornitura di n.1 scanner marca Fujitsu modello FI-7260</t>
  </si>
  <si>
    <t>DPS Informatica S.n.c. di Presello Gianni &amp; c. Fagagna (Ud) 01486330309</t>
  </si>
  <si>
    <t>Fornitura di n.2 dischi fissi SSD per aggiornamento pc da 500 GB l'uno e n.8 dischi fissi SSD per aggiornamento pc da 250 GB l'uno</t>
  </si>
  <si>
    <t>ZCF173DB94</t>
  </si>
  <si>
    <t>Lavoro di manutenzione alle piante da interno negli uffici ed al "verde" nell'area cortilizia della sede e dell'archivio camerale e l'eventuale fornitura di composizioni floreali in caso di convegni previa specifica richiesta dell'Ente camerale</t>
  </si>
  <si>
    <t>I Giardini di Arcozzi Ravenna RCZFPP81M24H199M</t>
  </si>
  <si>
    <t>Realizzazione di due seminari formativi sul ruolo della donna rispetto all'evoluzione del capitalismo economico e al cambiamento</t>
  </si>
  <si>
    <t>Dott.ssa Roberta Fabbri Cesena (Fc) FBBRRT65D47C573F</t>
  </si>
  <si>
    <t>ZE7170E15C</t>
  </si>
  <si>
    <t>ZB2178A436</t>
  </si>
  <si>
    <t>Fornitura di materiale di consumo per bagni e per il servizio di gestione dei raccoglitori di assorbenti igienici e per il servizo di sanificazione wc per il biennio 2016/2017</t>
  </si>
  <si>
    <t>Compreur S.r.l. Zola Predosa (BO) 03232630370</t>
  </si>
  <si>
    <t>ZE716DBE5B</t>
  </si>
  <si>
    <t>Servizio di attività editoriale relativa alla realizzazione della rivista systema della Camera di commercio di Ravenna</t>
  </si>
  <si>
    <t>Mistral comunicazione globale S.a.s. di Vittoria Maria Venturelli Ravenna 01263200394</t>
  </si>
  <si>
    <t>ZE7170DB7A</t>
  </si>
  <si>
    <t>Servizio di gestione della piattaforma Ciao Impresa e delle attività ad essa connesse</t>
  </si>
  <si>
    <t>ATTRIBUZIONE DEI CORRISPETTIVI E DEI CONTRATTI PER GLI ANNI 2013 - 2014 - 2015 - 2016 (ai sensi della L.190/2012) aggiornati al 31.12.2016</t>
  </si>
  <si>
    <t>Z0917B699F</t>
  </si>
  <si>
    <t>Servizio di gestione e manutenzione degli impianti per la climatizzazione invernale, per il condizionamento dell'aria e per la produzione di acqua calda ad uso igienico sanitario</t>
  </si>
  <si>
    <t>Z9D1811468</t>
  </si>
  <si>
    <t>Servizio di raccolta pubblicitaria relativo al periodico camerale Systema per il 2016</t>
  </si>
  <si>
    <t>Z121830C29</t>
  </si>
  <si>
    <t>Z5018735F9</t>
  </si>
  <si>
    <t>ZB017122EF</t>
  </si>
  <si>
    <t>Servizio di vigilanza alle sedi camerali di Ravenna e Lugo per l'anno 2016</t>
  </si>
  <si>
    <t>Fornitura di di n. 2000 CNS e relative cartelline e di n. 300 Token USB Aruba e relative cartelline per il rilascio</t>
  </si>
  <si>
    <t>Z1E18F657C</t>
  </si>
  <si>
    <t>Partecipazione addetta dell'Ufficio trattamento economico e quiescienza al corso formativo, previsto il 31.03.2016 a Ferrara</t>
  </si>
  <si>
    <t>Servizio di gestione e manutenzione degli impianti elettrici presso le sedi camerali della Camera di commercio di Ravenna</t>
  </si>
  <si>
    <t>Energy Impianti S.r.l. Ravenna 02524610397</t>
  </si>
  <si>
    <t>ZF418F6F1F</t>
  </si>
  <si>
    <t>Fornitura di n.53 proiettori a led</t>
  </si>
  <si>
    <t>Ferri Com S.r.l. Pescara 02001380688</t>
  </si>
  <si>
    <t>Z851914152</t>
  </si>
  <si>
    <t>Lavori di manutenzione esterna dei telai degli infissi di Palazzo Manzone in Viale Farini</t>
  </si>
  <si>
    <t>Palmieri Claudio Ravenna PLMCLD67E03H199M</t>
  </si>
  <si>
    <t>Z15191C7DA</t>
  </si>
  <si>
    <t>Lavori di manutenzione esterna degli intonaci delle facciate dei Palazzi Manzone e Sgubbi, nonché la rinfrescatura degli uffici dei piani I° e II° di Palazzo Manzone</t>
  </si>
  <si>
    <t>Z2C197F7A0</t>
  </si>
  <si>
    <t>Fornitura di n.65 tende da interno</t>
  </si>
  <si>
    <t>Pellini S.p.a. Codogno (LO) 09048540158</t>
  </si>
  <si>
    <t>Z86195647F</t>
  </si>
  <si>
    <t>Acquisto dello spazio espositivo temporaneo di 21mq. c/o Offshore Mediterranean Conference 2017</t>
  </si>
  <si>
    <t>I.E.S. S.r.l. Roma 04428121000</t>
  </si>
  <si>
    <t>Z5C19CB894</t>
  </si>
  <si>
    <t>Redazione di un servizio televisivo della durata di 10 minuti in occasione della 14a Giornata dell'Economia e la sua messa in onda</t>
  </si>
  <si>
    <t>ZB419D7DD7</t>
  </si>
  <si>
    <t>Fornitura di un leaderboard a rotazione 1:10 con grafica per 3 mesi sul sito web www.ravenna24ore.it in occasione della 14a Giornata dell'Economia</t>
  </si>
  <si>
    <t>Z6819E1009</t>
  </si>
  <si>
    <t>Incarico per il rinnovo del Certificato Prevenzione Incendi della sede di Ravenna</t>
  </si>
  <si>
    <t>Ing. Patrizio Berretti Ravenna BRRPRZ58S13H199V</t>
  </si>
  <si>
    <t>Z8E198C381</t>
  </si>
  <si>
    <t>Servizio di analisi e relazione svolto dal Dott. Paolo Ricotti in occasione della 14a Giornata dell'Economia</t>
  </si>
  <si>
    <t>Arte in Arte S.r.l. Milano 08314890966</t>
  </si>
  <si>
    <t>Integrazione alla fornitura precedente tramite la fornitura di n.1 proiettore a led</t>
  </si>
  <si>
    <t>Z6C1A33FB0</t>
  </si>
  <si>
    <t>Fornitura di carta riciclata per fotocopiatrici e stampanti, certificata "Der blaue Engel" e conforme ai CAM (Criteri Ambientali Minimi)</t>
  </si>
  <si>
    <t>Valsecchi S.r.l. Milano 07997560151</t>
  </si>
  <si>
    <t>Z4A1A4BCC0</t>
  </si>
  <si>
    <t>Servizio di redazione dell'elaborato concernente la valutazione del rischio da scariche atmosferiche degli immobili della sede camerale di Ravenna ai sensi del D.Lgs. n. 81/08</t>
  </si>
  <si>
    <t>Z1B1A8EF6C</t>
  </si>
  <si>
    <t>Fornitura dei servizi di raccolta e recapito degli invii, effettuazione delle attività propedeutiche alla spedizione della corrispondenza, ritiro e consegna a domicilio</t>
  </si>
  <si>
    <t>Poste Italiane S.p.a.. Roma 97103880585</t>
  </si>
  <si>
    <t>ZC91AE3A44</t>
  </si>
  <si>
    <t>Fornitura del servizio denominato Postaonline.it Corporate per la spedizione via web di corrispondenza prioritaria, raccomandate e telegrammi</t>
  </si>
  <si>
    <t>ZD31B26F8E</t>
  </si>
  <si>
    <t>Partecipazione ad un'attività formativa specifica sul "Decreto MISE 17.02.2016 relativo all'approvazione del modello standard di costituzione di start-up innovative aventi forma di s.r.l. non semplificate</t>
  </si>
  <si>
    <t>I.F.O.A. Istituto Formazione Operatori Aziendali Reggio Emilia 00453310351</t>
  </si>
  <si>
    <t>ZBF1B4CFF0</t>
  </si>
  <si>
    <t>Fornitura di materiale di cancelleria</t>
  </si>
  <si>
    <t>Servizio di vigilanza per gli edifici camerali</t>
  </si>
  <si>
    <t>Servizi informatici necessari e connessi all’emissione della Carta Nazionale dei Servizi (CNS) con certificati di autenticazione e di sottoscrizione</t>
  </si>
  <si>
    <t>Z3A170DBE9</t>
  </si>
  <si>
    <t>Z011B9C375</t>
  </si>
  <si>
    <t>MV Carpenteria S.n.c. Ravenna 02462830395</t>
  </si>
  <si>
    <t>Lavori per la riparazione del portone scorrevole del garage, del cancello carrabile e di una porta della sala Cavalcoli</t>
  </si>
  <si>
    <t>ZF71BC2AD3</t>
  </si>
  <si>
    <t>Realizzazione di una giornata formativa specifica sull'orientamento al lavoro e l'Alternanza scuola-lavoro</t>
  </si>
  <si>
    <t>I.F.O.A. Istituto di Formazione Operatori Aziendali Reggio Emilia 00453310351</t>
  </si>
  <si>
    <t>685989439C</t>
  </si>
  <si>
    <t>Fornitura alle sedi camerali di energia elettrica proveniente da fonti rinnovabili per l'anno 2017</t>
  </si>
  <si>
    <t>Edison Energia S.p.A. Milano 08526440154</t>
  </si>
  <si>
    <t>Z7B1BF0530</t>
  </si>
  <si>
    <t>Fornitura del servizio di reception/gestione sale convegni presso la sede camerale</t>
  </si>
  <si>
    <t>ZE21BE8DE1</t>
  </si>
  <si>
    <t>Servizio di assistenza per il mantenimento e lo sviluppo del Sistema di Gestione per l'Ambiente con riferimento alla norma UNI EN ISO 14001/04 dell'Ente camerale ai fini del conseguimento del rinnovo della certificazione ambientale</t>
  </si>
  <si>
    <t>ZE11C25D2D</t>
  </si>
  <si>
    <t>Realizzazione dell'attività formativa sull'autoimprenditorialità</t>
  </si>
  <si>
    <t>68561978BE</t>
  </si>
  <si>
    <t>Fornitura alle sedi camerali del servizio di pulizia</t>
  </si>
  <si>
    <t>CNS Consorzio Nazionale Servizi Soc.Coop. Milano 02884150588</t>
  </si>
  <si>
    <t>ZF41C26638</t>
  </si>
  <si>
    <t>Servizio di sanificazione e manutenzione con fornitura di co2 per n.1 erogatore di acqua mod. Refrigerette office collegata direttamente alla fonte idrica</t>
  </si>
  <si>
    <t>Adriatica Acque s.r.l. Savignano sul Rubicone FC 03128080409</t>
  </si>
  <si>
    <t>Z831C53DAA</t>
  </si>
  <si>
    <t>Servizio di corriere</t>
  </si>
  <si>
    <t>General Logistic Systems Enterprise S.r.l. San Giuliano Milanese 04102770965</t>
  </si>
  <si>
    <t>Z291C4071C</t>
  </si>
  <si>
    <t>Z5B1B2FACB</t>
  </si>
  <si>
    <t>Servizio di cassa della Camera di commercio di Ravenna</t>
  </si>
  <si>
    <t>Z9B1C48CC9</t>
  </si>
  <si>
    <t>Manutenzione ordinaria per il prossimo triennio alle automazioni di n. 4 cancelli mobili</t>
  </si>
  <si>
    <t>Nicolucci Carlo &amp; C. S.n.c. Ravenna 012810903975</t>
  </si>
  <si>
    <t>ZA41C65FF4</t>
  </si>
  <si>
    <t>Allestimento di uno stand espositivo con superficie di 21 m2 comprensivo in particolare di moquette, pannelli in tamburato tinteggiati mobili e luci, sgabelli e tavoli tondi monopiede, banco reception, fioriere e poltroncine, fornitura elettrica monofase ed altro, durante la manifestazione OMC 2017</t>
  </si>
  <si>
    <t>Allestimenti &amp; Pubblicità S.p.A. Imola (BO) 01513391209</t>
  </si>
  <si>
    <t>Z471C653A2</t>
  </si>
  <si>
    <t>Servizio di manutenzione all'impianto di domotica dell'Ente camerale per il triennio 2017/2019</t>
  </si>
  <si>
    <t>ZG Lighting S.r.l. Varna (BZ) 00192920213</t>
  </si>
  <si>
    <t>Z081C900AB</t>
  </si>
  <si>
    <t>Fornitura del servizio di Hosting per la pubblicazione in internet della rivista dell'Ente camerale Systema</t>
  </si>
  <si>
    <t>Aruba S.p.a. Bibbiena (AR) 01573850516</t>
  </si>
  <si>
    <t>Z681C72586</t>
  </si>
  <si>
    <t>Manutenzione ordinaria per il prossimo biennio delle aree verdi camerali nonché del parco piante all'interno degli uffici camerali</t>
  </si>
  <si>
    <t>Z5218661C0</t>
  </si>
  <si>
    <t>Fornitura di etichette adesive ad uso specifico per l'ufficio Metrico</t>
  </si>
  <si>
    <t>Incarico di relatore per l'intervento “Il Registro delle imprese nel sistema della pubblicità legale: un bilancio (positivo) di venti anni tra tensioni evolutive e approdi di sistema”</t>
  </si>
  <si>
    <t>Prof. Avv. Vincenzo Donativi DNT VCN 62E30 B180J</t>
  </si>
  <si>
    <t>Z031901B70</t>
  </si>
  <si>
    <t>Fornitura del servizio di noleggio di una autovettura marca Fiat modello Nuova Punto Street 1.4 natural power 70 cv5 porte E6 a doppia alimentazione benzina/metano, per una percorrenza di 100.000 Km in un periodo di 60 mesi con l'opzione di consegna e riconsegna a domicilio, tramite convenzione Consip</t>
  </si>
  <si>
    <t>ALD Automotive Italia S.r.l. Roma 01924961004</t>
  </si>
  <si>
    <t>Svolgimento dell'attività formativa "essere in equilibrio" finalizzato alla creazione di leadership per promozione dell'imprenditoria al femminile</t>
  </si>
  <si>
    <t>Istituto di psicologia del benessere S.r.l. Ferrara 01560560383</t>
  </si>
  <si>
    <t>Z981998855</t>
  </si>
  <si>
    <t>Z681A3C5EA</t>
  </si>
  <si>
    <t>Copertura assicurativa R.C. professionale degli Organismi di composizione della crisi da sovraindebitamento</t>
  </si>
  <si>
    <t>Fornitura del programma informatico "Servizio Arbitrato - Conciliacamera" con il registro relativo alla Composizione delle crisi da sovraindebitamento</t>
  </si>
  <si>
    <t>Infocamere S.c.p.a. Roma 02313821007</t>
  </si>
  <si>
    <t>Servizio di ravvedimento operoso per il diritto annuale 2016</t>
  </si>
  <si>
    <t>Realizzazione di un seminario formativo sullo sviluppo delle capacità di relazioni sinergiche, gli aspetti comportamentali, nonché la risoluzione e gestione dei conflitti</t>
  </si>
  <si>
    <t>Avv. Umberto Baglietti BGLMRT68C20D548P</t>
  </si>
  <si>
    <t>Z041BA0CD2</t>
  </si>
  <si>
    <t>Fornitura del servizio di verifica documentale</t>
  </si>
  <si>
    <t>IISG S.r.l. Cabiate (CO) 10343230156</t>
  </si>
  <si>
    <t>Fornitura del servizio certificazione LAT doppio decalitro campione per carburanti</t>
  </si>
  <si>
    <t>Caricamento nella banca dati del Registro Imprese delle cancellazioni d'ufficio</t>
  </si>
  <si>
    <t>ZD11BB15E5</t>
  </si>
  <si>
    <t>Fornitura del servizio di analisi documentale su un piccolo elettrodomestico</t>
  </si>
  <si>
    <t>IMQ S.p.a. Milano 12898410159</t>
  </si>
  <si>
    <t>Z511BA0C01</t>
  </si>
  <si>
    <t>Fornitura del servizio di analisi documentale su n. 1 giocattolo</t>
  </si>
  <si>
    <t>Istituto di ricerche e collaudi M. Masini S.r.l. Rho (MI) 00862210150</t>
  </si>
  <si>
    <t>ZA91C14F29</t>
  </si>
  <si>
    <t>Servizio di manutenzione ordinaria hardware e software del sistema di gestione flusso utenti mod. Gesco, per garantire il mantenimento di una sua regolare efficienza, in uso presso il front-office Registro delle Imprese dell'ente camerale</t>
  </si>
  <si>
    <t>Ciemme Gesco S.r.l. Passignano sul Trasimento (PG) 02958520542</t>
  </si>
  <si>
    <t>ZB01C2C891</t>
  </si>
  <si>
    <t>Manutenzione ordinaria per il prossimo triennio a n.2 archivi mobili mod. Eurot</t>
  </si>
  <si>
    <t>Nota: con il "N. PROGR." in grassetto sono indicati i contratti per l'anno 2016.</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</si>
</sst>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000000"/>
    <numFmt numFmtId="165" formatCode="yyyy\-mm\-dd"/>
    <numFmt numFmtId="166" formatCode="&quot;Sì&quot;;&quot;Sì&quot;;&quot;No&quot;"/>
    <numFmt numFmtId="167" formatCode="&quot;Vero&quot;;&quot;Vero&quot;;&quot;Falso&quot;"/>
    <numFmt numFmtId="168" formatCode="&quot;Attivo&quot;;&quot;Attivo&quot;;&quot;Disattivo&quot;"/>
    <numFmt numFmtId="169" formatCode="[$€-2]\ #.##000_);[Red]\([$€-2]\ #.##000\)"/>
  </numFmts>
  <fonts count="42">
    <font>
      <sz val="10"/>
      <name val="Arial"/>
      <family val="2"/>
    </font>
    <font>
      <sz val="22"/>
      <name val="Arial"/>
      <family val="2"/>
    </font>
    <font>
      <b/>
      <sz val="10"/>
      <name val="Arial"/>
      <family val="2"/>
    </font>
    <font>
      <sz val="10"/>
      <color indexed="8"/>
      <name val="Arial"/>
      <family val="2"/>
    </font>
    <font>
      <i/>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0"/>
      <color indexed="10"/>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0"/>
      <color rgb="FFFF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3"/>
        <bgColor indexed="64"/>
      </patternFill>
    </fill>
    <fill>
      <patternFill patternType="solid">
        <fgColor theme="0" tint="-0.24997000396251678"/>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0" borderId="2" applyNumberFormat="0" applyFill="0" applyAlignment="0" applyProtection="0"/>
    <xf numFmtId="0" fontId="27" fillId="21" borderId="3" applyNumberFormat="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8"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29" fillId="29" borderId="0" applyNumberFormat="0" applyBorder="0" applyAlignment="0" applyProtection="0"/>
    <xf numFmtId="0" fontId="0" fillId="30" borderId="4" applyNumberFormat="0" applyFont="0" applyAlignment="0" applyProtection="0"/>
    <xf numFmtId="0" fontId="30" fillId="20" borderId="5" applyNumberFormat="0" applyAlignment="0" applyProtection="0"/>
    <xf numFmtId="9" fontId="0" fillId="0" borderId="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31" borderId="0" applyNumberFormat="0" applyBorder="0" applyAlignment="0" applyProtection="0"/>
    <xf numFmtId="0" fontId="39"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80">
    <xf numFmtId="0" fontId="0" fillId="0" borderId="0" xfId="0" applyAlignment="1">
      <alignment/>
    </xf>
    <xf numFmtId="0" fontId="0" fillId="0" borderId="0" xfId="0" applyFont="1" applyAlignment="1">
      <alignment/>
    </xf>
    <xf numFmtId="164" fontId="0" fillId="0" borderId="0" xfId="0" applyNumberFormat="1" applyFill="1" applyAlignment="1">
      <alignment horizontal="center"/>
    </xf>
    <xf numFmtId="0" fontId="0" fillId="0" borderId="0" xfId="0" applyFill="1" applyAlignment="1">
      <alignment horizontal="center"/>
    </xf>
    <xf numFmtId="0" fontId="0" fillId="0" borderId="0" xfId="0" applyFill="1" applyAlignment="1">
      <alignment wrapText="1"/>
    </xf>
    <xf numFmtId="0" fontId="0" fillId="0" borderId="0" xfId="0" applyFill="1" applyAlignment="1">
      <alignment horizontal="center" wrapText="1"/>
    </xf>
    <xf numFmtId="0" fontId="0" fillId="0" borderId="0" xfId="0" applyFill="1" applyAlignment="1">
      <alignment/>
    </xf>
    <xf numFmtId="0" fontId="0" fillId="0" borderId="0" xfId="0" applyFill="1" applyAlignment="1">
      <alignment horizontal="left" wrapText="1"/>
    </xf>
    <xf numFmtId="0" fontId="0" fillId="0" borderId="0" xfId="0" applyFill="1" applyAlignment="1">
      <alignment horizontal="right"/>
    </xf>
    <xf numFmtId="14" fontId="0" fillId="0" borderId="0" xfId="0" applyNumberFormat="1" applyFill="1" applyAlignment="1">
      <alignment horizontal="center"/>
    </xf>
    <xf numFmtId="2" fontId="0" fillId="0" borderId="0" xfId="0" applyNumberFormat="1" applyFont="1" applyFill="1" applyAlignment="1">
      <alignment horizontal="right"/>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0" fillId="0" borderId="10" xfId="0" applyFont="1" applyFill="1" applyBorder="1" applyAlignment="1">
      <alignment horizontal="center" vertical="center" wrapText="1"/>
    </xf>
    <xf numFmtId="164"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 fontId="0" fillId="0" borderId="10" xfId="0" applyNumberFormat="1" applyFont="1" applyFill="1" applyBorder="1" applyAlignment="1">
      <alignment horizontal="left" vertical="center" wrapText="1"/>
    </xf>
    <xf numFmtId="0" fontId="0" fillId="0" borderId="10" xfId="0" applyFont="1" applyBorder="1" applyAlignment="1">
      <alignment horizontal="center" vertical="center" wrapText="1"/>
    </xf>
    <xf numFmtId="2" fontId="0" fillId="0" borderId="10" xfId="0" applyNumberFormat="1" applyFont="1" applyFill="1" applyBorder="1" applyAlignment="1">
      <alignment horizontal="right" vertical="center" wrapText="1"/>
    </xf>
    <xf numFmtId="165" fontId="0" fillId="0" borderId="10" xfId="0" applyNumberFormat="1" applyFont="1" applyFill="1" applyBorder="1" applyAlignment="1">
      <alignment horizontal="center" vertical="center" wrapText="1"/>
    </xf>
    <xf numFmtId="4" fontId="0" fillId="0" borderId="10" xfId="0" applyNumberFormat="1" applyFont="1" applyFill="1" applyBorder="1" applyAlignment="1">
      <alignment vertical="center" wrapText="1"/>
    </xf>
    <xf numFmtId="4" fontId="3" fillId="0" borderId="10" xfId="0" applyNumberFormat="1" applyFont="1" applyFill="1" applyBorder="1" applyAlignment="1">
      <alignment vertical="center" wrapText="1"/>
    </xf>
    <xf numFmtId="0" fontId="0" fillId="0" borderId="0" xfId="0" applyFont="1" applyFill="1" applyBorder="1" applyAlignment="1">
      <alignment vertical="center"/>
    </xf>
    <xf numFmtId="2" fontId="3" fillId="0" borderId="10" xfId="0" applyNumberFormat="1" applyFont="1" applyFill="1" applyBorder="1" applyAlignment="1">
      <alignment horizontal="right" vertical="center" wrapText="1"/>
    </xf>
    <xf numFmtId="165" fontId="3"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left" vertical="center" wrapText="1"/>
    </xf>
    <xf numFmtId="0" fontId="0" fillId="0" borderId="11" xfId="0" applyFont="1" applyBorder="1" applyAlignment="1">
      <alignment horizontal="center" vertical="center" wrapText="1"/>
    </xf>
    <xf numFmtId="0" fontId="0" fillId="0" borderId="10" xfId="0" applyFont="1" applyFill="1" applyBorder="1" applyAlignment="1">
      <alignment vertical="center" wrapText="1"/>
    </xf>
    <xf numFmtId="0" fontId="0" fillId="0" borderId="10" xfId="0" applyFont="1" applyFill="1" applyBorder="1" applyAlignment="1">
      <alignment horizontal="left" vertical="center" wrapText="1"/>
    </xf>
    <xf numFmtId="0" fontId="0" fillId="0" borderId="11" xfId="0" applyFont="1" applyFill="1" applyBorder="1" applyAlignment="1">
      <alignment horizontal="center" vertical="center" wrapText="1"/>
    </xf>
    <xf numFmtId="2" fontId="0" fillId="0" borderId="10" xfId="0" applyNumberFormat="1" applyFill="1" applyBorder="1" applyAlignment="1">
      <alignment horizontal="right" vertical="center"/>
    </xf>
    <xf numFmtId="165" fontId="0" fillId="0" borderId="10" xfId="0" applyNumberFormat="1" applyFill="1" applyBorder="1" applyAlignment="1">
      <alignment horizontal="center" vertical="center"/>
    </xf>
    <xf numFmtId="0" fontId="0" fillId="0" borderId="10" xfId="0" applyFont="1" applyFill="1" applyBorder="1" applyAlignment="1">
      <alignment vertical="center" wrapText="1"/>
    </xf>
    <xf numFmtId="165" fontId="0" fillId="0" borderId="0" xfId="0" applyNumberFormat="1" applyFill="1" applyAlignment="1">
      <alignment horizontal="center" vertical="center"/>
    </xf>
    <xf numFmtId="164" fontId="0"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2" fontId="0" fillId="0" borderId="10" xfId="0" applyNumberFormat="1" applyFont="1" applyFill="1" applyBorder="1" applyAlignment="1">
      <alignment horizontal="right" vertical="center"/>
    </xf>
    <xf numFmtId="165" fontId="0" fillId="0" borderId="10" xfId="0" applyNumberFormat="1" applyFont="1" applyFill="1" applyBorder="1" applyAlignment="1">
      <alignment horizontal="center" vertical="center"/>
    </xf>
    <xf numFmtId="0" fontId="0" fillId="0" borderId="0" xfId="0" applyFont="1" applyFill="1" applyAlignment="1">
      <alignment wrapText="1"/>
    </xf>
    <xf numFmtId="0" fontId="3" fillId="0" borderId="0" xfId="0" applyFont="1" applyFill="1" applyAlignment="1">
      <alignment horizontal="justify" vertical="center"/>
    </xf>
    <xf numFmtId="0" fontId="0" fillId="0" borderId="10" xfId="0" applyFill="1" applyBorder="1" applyAlignment="1">
      <alignment vertical="center"/>
    </xf>
    <xf numFmtId="0" fontId="0" fillId="0" borderId="10" xfId="0" applyFont="1" applyFill="1" applyBorder="1" applyAlignment="1">
      <alignment vertical="center"/>
    </xf>
    <xf numFmtId="0" fontId="0" fillId="0" borderId="0" xfId="0" applyFill="1" applyAlignment="1">
      <alignment vertical="center"/>
    </xf>
    <xf numFmtId="0" fontId="0" fillId="0" borderId="10" xfId="0" applyFill="1" applyBorder="1" applyAlignment="1">
      <alignment horizontal="center" vertical="center"/>
    </xf>
    <xf numFmtId="14" fontId="0" fillId="0" borderId="10" xfId="0" applyNumberFormat="1" applyFont="1" applyFill="1" applyBorder="1" applyAlignment="1">
      <alignment horizontal="center" vertical="center"/>
    </xf>
    <xf numFmtId="0" fontId="0" fillId="33" borderId="0" xfId="0" applyFont="1" applyFill="1" applyAlignment="1">
      <alignment/>
    </xf>
    <xf numFmtId="0" fontId="0" fillId="33" borderId="0" xfId="0" applyFont="1" applyFill="1" applyBorder="1" applyAlignment="1">
      <alignment/>
    </xf>
    <xf numFmtId="0" fontId="0" fillId="33" borderId="0" xfId="0" applyFont="1" applyFill="1" applyAlignment="1">
      <alignment horizontal="center"/>
    </xf>
    <xf numFmtId="0" fontId="0" fillId="33" borderId="0" xfId="0" applyFill="1" applyAlignment="1">
      <alignment horizontal="center"/>
    </xf>
    <xf numFmtId="49" fontId="0" fillId="0" borderId="10"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0" fontId="40" fillId="0" borderId="0" xfId="0" applyFont="1" applyFill="1" applyAlignment="1">
      <alignment horizontal="center" vertical="center" wrapText="1"/>
    </xf>
    <xf numFmtId="4" fontId="0" fillId="0" borderId="10" xfId="0" applyNumberFormat="1" applyFill="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0" fillId="0" borderId="10" xfId="0" applyFont="1" applyBorder="1" applyAlignment="1">
      <alignment horizontal="justify" vertical="center"/>
    </xf>
    <xf numFmtId="2" fontId="0" fillId="0" borderId="10" xfId="0" applyNumberFormat="1" applyFont="1" applyBorder="1" applyAlignment="1">
      <alignment vertical="center" wrapText="1"/>
    </xf>
    <xf numFmtId="165" fontId="0" fillId="0" borderId="10" xfId="0" applyNumberFormat="1" applyFont="1" applyFill="1" applyBorder="1" applyAlignment="1">
      <alignment vertical="center" wrapText="1"/>
    </xf>
    <xf numFmtId="0" fontId="0" fillId="0" borderId="10" xfId="0" applyFill="1" applyBorder="1" applyAlignment="1">
      <alignment horizontal="left" vertical="center" wrapText="1"/>
    </xf>
    <xf numFmtId="49" fontId="0" fillId="0" borderId="12" xfId="0" applyNumberFormat="1"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vertical="center" wrapText="1"/>
    </xf>
    <xf numFmtId="4" fontId="3" fillId="0" borderId="15" xfId="0" applyNumberFormat="1" applyFont="1" applyFill="1" applyBorder="1" applyAlignment="1">
      <alignment vertical="center" wrapText="1"/>
    </xf>
    <xf numFmtId="4" fontId="3" fillId="0" borderId="10" xfId="0" applyNumberFormat="1" applyFont="1" applyFill="1" applyBorder="1" applyAlignment="1">
      <alignment vertical="center" wrapText="1"/>
    </xf>
    <xf numFmtId="164" fontId="0" fillId="0" borderId="10" xfId="0" applyNumberFormat="1" applyFont="1" applyFill="1" applyBorder="1" applyAlignment="1">
      <alignment horizontal="center" vertical="center" wrapText="1"/>
    </xf>
    <xf numFmtId="14" fontId="2" fillId="2" borderId="16" xfId="0" applyNumberFormat="1" applyFont="1" applyFill="1" applyBorder="1" applyAlignment="1">
      <alignment horizontal="center" vertical="center" wrapText="1"/>
    </xf>
    <xf numFmtId="0" fontId="2" fillId="2" borderId="16" xfId="0" applyFont="1" applyFill="1" applyBorder="1" applyAlignment="1">
      <alignment horizontal="center" vertical="center" wrapText="1"/>
    </xf>
    <xf numFmtId="0" fontId="40" fillId="0" borderId="0" xfId="0" applyFont="1" applyFill="1" applyAlignment="1">
      <alignment horizontal="center" vertical="center"/>
    </xf>
    <xf numFmtId="0" fontId="4" fillId="0" borderId="0" xfId="0" applyFont="1" applyAlignment="1">
      <alignment/>
    </xf>
    <xf numFmtId="0" fontId="1" fillId="34" borderId="16" xfId="0" applyFont="1" applyFill="1" applyBorder="1" applyAlignment="1">
      <alignment horizontal="center" vertical="center" wrapText="1"/>
    </xf>
    <xf numFmtId="0" fontId="0" fillId="2" borderId="16" xfId="0" applyFill="1" applyBorder="1" applyAlignment="1">
      <alignment horizontal="center" vertical="center" wrapText="1"/>
    </xf>
    <xf numFmtId="0" fontId="0" fillId="2" borderId="16" xfId="0" applyFont="1" applyFill="1" applyBorder="1" applyAlignment="1">
      <alignment horizontal="center" vertical="center" wrapText="1"/>
    </xf>
    <xf numFmtId="164" fontId="2" fillId="2" borderId="16" xfId="0" applyNumberFormat="1" applyFont="1" applyFill="1" applyBorder="1" applyAlignment="1">
      <alignment horizontal="center" vertical="center" wrapText="1"/>
    </xf>
    <xf numFmtId="0" fontId="2" fillId="2" borderId="16" xfId="0" applyFont="1" applyFill="1" applyBorder="1" applyAlignment="1">
      <alignment horizontal="center" vertical="center" wrapText="1"/>
    </xf>
    <xf numFmtId="14" fontId="2" fillId="2" borderId="16" xfId="0" applyNumberFormat="1" applyFont="1" applyFill="1" applyBorder="1" applyAlignment="1">
      <alignment horizontal="center" vertical="center" wrapText="1"/>
    </xf>
    <xf numFmtId="2" fontId="0" fillId="2" borderId="16" xfId="0" applyNumberFormat="1"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BJ436"/>
  <sheetViews>
    <sheetView tabSelected="1" zoomScale="90" zoomScaleNormal="90" zoomScalePageLayoutView="0" workbookViewId="0" topLeftCell="A1">
      <pane ySplit="3780" topLeftCell="A1" activePane="bottomLeft" state="split"/>
      <selection pane="topLeft" activeCell="A2" sqref="A2:A3"/>
      <selection pane="bottomLeft" activeCell="M1" sqref="M1"/>
    </sheetView>
  </sheetViews>
  <sheetFormatPr defaultColWidth="11.57421875" defaultRowHeight="12.75"/>
  <cols>
    <col min="1" max="1" width="4.8515625" style="1" customWidth="1"/>
    <col min="2" max="2" width="15.28125" style="2" customWidth="1"/>
    <col min="3" max="3" width="18.7109375" style="3" customWidth="1"/>
    <col min="4" max="4" width="17.421875" style="3" customWidth="1"/>
    <col min="5" max="5" width="58.57421875" style="4" customWidth="1"/>
    <col min="6" max="6" width="30.8515625" style="5" customWidth="1"/>
    <col min="7" max="7" width="23.57421875" style="6" customWidth="1"/>
    <col min="8" max="8" width="47.57421875" style="7" customWidth="1"/>
    <col min="9" max="9" width="16.421875" style="8" customWidth="1"/>
    <col min="10" max="10" width="17.421875" style="9" customWidth="1"/>
    <col min="11" max="11" width="17.421875" style="3" customWidth="1"/>
    <col min="12" max="12" width="15.57421875" style="10" customWidth="1"/>
    <col min="13" max="62" width="11.57421875" style="6" customWidth="1"/>
  </cols>
  <sheetData>
    <row r="1" spans="1:62" s="12" customFormat="1" ht="38.25" customHeight="1">
      <c r="A1" s="73" t="s">
        <v>844</v>
      </c>
      <c r="B1" s="73"/>
      <c r="C1" s="73"/>
      <c r="D1" s="73"/>
      <c r="E1" s="73"/>
      <c r="F1" s="73"/>
      <c r="G1" s="73"/>
      <c r="H1" s="73"/>
      <c r="I1" s="73"/>
      <c r="J1" s="73"/>
      <c r="K1" s="73"/>
      <c r="L1" s="73"/>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row>
    <row r="2" spans="1:62" s="12" customFormat="1" ht="100.5" customHeight="1">
      <c r="A2" s="74" t="s">
        <v>0</v>
      </c>
      <c r="B2" s="76" t="s">
        <v>1</v>
      </c>
      <c r="C2" s="77" t="s">
        <v>2</v>
      </c>
      <c r="D2" s="77" t="s">
        <v>3</v>
      </c>
      <c r="E2" s="77" t="s">
        <v>4</v>
      </c>
      <c r="F2" s="77" t="s">
        <v>5</v>
      </c>
      <c r="G2" s="77" t="s">
        <v>6</v>
      </c>
      <c r="H2" s="77" t="s">
        <v>7</v>
      </c>
      <c r="I2" s="77" t="s">
        <v>8</v>
      </c>
      <c r="J2" s="78" t="s">
        <v>9</v>
      </c>
      <c r="K2" s="78"/>
      <c r="L2" s="79" t="s">
        <v>10</v>
      </c>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row>
    <row r="3" spans="1:62" s="12" customFormat="1" ht="57.75" customHeight="1">
      <c r="A3" s="75"/>
      <c r="B3" s="76"/>
      <c r="C3" s="77"/>
      <c r="D3" s="77"/>
      <c r="E3" s="77"/>
      <c r="F3" s="77"/>
      <c r="G3" s="77"/>
      <c r="H3" s="77"/>
      <c r="I3" s="77"/>
      <c r="J3" s="69" t="s">
        <v>11</v>
      </c>
      <c r="K3" s="70" t="s">
        <v>12</v>
      </c>
      <c r="L3" s="79"/>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row>
    <row r="4" spans="1:62" s="12" customFormat="1" ht="42.75" customHeight="1">
      <c r="A4" s="13">
        <v>1</v>
      </c>
      <c r="B4" s="14" t="s">
        <v>13</v>
      </c>
      <c r="C4" s="15" t="s">
        <v>14</v>
      </c>
      <c r="D4" s="16" t="s">
        <v>15</v>
      </c>
      <c r="E4" s="17" t="s">
        <v>16</v>
      </c>
      <c r="F4" s="18" t="s">
        <v>17</v>
      </c>
      <c r="G4" s="13"/>
      <c r="H4" s="17" t="s">
        <v>18</v>
      </c>
      <c r="I4" s="19">
        <v>13117.1</v>
      </c>
      <c r="J4" s="20">
        <v>41274</v>
      </c>
      <c r="K4" s="20">
        <v>43100</v>
      </c>
      <c r="L4" s="19">
        <f>2168.12+2145.95+2623.42</f>
        <v>6937.49</v>
      </c>
      <c r="M4" s="7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row>
    <row r="5" spans="1:62" s="12" customFormat="1" ht="42.75" customHeight="1">
      <c r="A5" s="13">
        <v>2</v>
      </c>
      <c r="B5" s="14" t="s">
        <v>19</v>
      </c>
      <c r="C5" s="15" t="s">
        <v>14</v>
      </c>
      <c r="D5" s="16" t="s">
        <v>15</v>
      </c>
      <c r="E5" s="21" t="s">
        <v>20</v>
      </c>
      <c r="F5" s="18" t="s">
        <v>17</v>
      </c>
      <c r="G5" s="13"/>
      <c r="H5" s="17" t="s">
        <v>18</v>
      </c>
      <c r="I5" s="19">
        <v>12500</v>
      </c>
      <c r="J5" s="20">
        <v>41274</v>
      </c>
      <c r="K5" s="20">
        <v>43100</v>
      </c>
      <c r="L5" s="19">
        <f>2066.12+2044.98+667+2499.99</f>
        <v>7278.09</v>
      </c>
      <c r="M5" s="7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row>
    <row r="6" spans="1:62" s="12" customFormat="1" ht="42.75" customHeight="1">
      <c r="A6" s="13">
        <v>3</v>
      </c>
      <c r="B6" s="14" t="s">
        <v>21</v>
      </c>
      <c r="C6" s="15" t="s">
        <v>14</v>
      </c>
      <c r="D6" s="16" t="s">
        <v>15</v>
      </c>
      <c r="E6" s="21" t="s">
        <v>22</v>
      </c>
      <c r="F6" s="18" t="s">
        <v>17</v>
      </c>
      <c r="G6" s="13"/>
      <c r="H6" s="17" t="s">
        <v>18</v>
      </c>
      <c r="I6" s="19">
        <f>254+254</f>
        <v>508</v>
      </c>
      <c r="J6" s="20">
        <v>41275</v>
      </c>
      <c r="K6" s="20">
        <v>42004</v>
      </c>
      <c r="L6" s="19">
        <f>508+252</f>
        <v>760</v>
      </c>
      <c r="M6" s="7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row>
    <row r="7" spans="1:62" s="12" customFormat="1" ht="42.75" customHeight="1">
      <c r="A7" s="13">
        <v>4</v>
      </c>
      <c r="B7" s="14" t="s">
        <v>23</v>
      </c>
      <c r="C7" s="15" t="s">
        <v>14</v>
      </c>
      <c r="D7" s="16" t="s">
        <v>15</v>
      </c>
      <c r="E7" s="21" t="s">
        <v>24</v>
      </c>
      <c r="F7" s="18" t="s">
        <v>17</v>
      </c>
      <c r="G7" s="13"/>
      <c r="H7" s="17" t="s">
        <v>18</v>
      </c>
      <c r="I7" s="19">
        <v>10000</v>
      </c>
      <c r="J7" s="20">
        <v>41275</v>
      </c>
      <c r="K7" s="20">
        <v>43100</v>
      </c>
      <c r="L7" s="19">
        <f>1652.89+1762.11+431.4+2439.99</f>
        <v>6286.389999999999</v>
      </c>
      <c r="M7" s="7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row>
    <row r="8" spans="1:62" s="12" customFormat="1" ht="42.75" customHeight="1">
      <c r="A8" s="13">
        <v>5</v>
      </c>
      <c r="B8" s="14" t="s">
        <v>25</v>
      </c>
      <c r="C8" s="15" t="s">
        <v>14</v>
      </c>
      <c r="D8" s="16" t="s">
        <v>15</v>
      </c>
      <c r="E8" s="21" t="s">
        <v>26</v>
      </c>
      <c r="F8" s="18" t="s">
        <v>17</v>
      </c>
      <c r="G8" s="13"/>
      <c r="H8" s="17" t="s">
        <v>18</v>
      </c>
      <c r="I8" s="19">
        <v>16500</v>
      </c>
      <c r="J8" s="20">
        <v>41276</v>
      </c>
      <c r="K8" s="20">
        <v>43100</v>
      </c>
      <c r="L8" s="19">
        <f>2727.27+3219.52+7002.01</f>
        <v>12948.8</v>
      </c>
      <c r="M8" s="7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row>
    <row r="9" spans="1:62" s="12" customFormat="1" ht="42.75" customHeight="1">
      <c r="A9" s="13">
        <v>6</v>
      </c>
      <c r="B9" s="14" t="s">
        <v>27</v>
      </c>
      <c r="C9" s="15" t="s">
        <v>14</v>
      </c>
      <c r="D9" s="16" t="s">
        <v>15</v>
      </c>
      <c r="E9" s="21" t="s">
        <v>28</v>
      </c>
      <c r="F9" s="18" t="s">
        <v>29</v>
      </c>
      <c r="G9" s="13"/>
      <c r="H9" s="17" t="s">
        <v>30</v>
      </c>
      <c r="I9" s="19">
        <v>2345</v>
      </c>
      <c r="J9" s="20">
        <v>41276</v>
      </c>
      <c r="K9" s="20">
        <v>41639</v>
      </c>
      <c r="L9" s="19">
        <f>1938.02</f>
        <v>1938.02</v>
      </c>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row>
    <row r="10" spans="1:62" s="12" customFormat="1" ht="42.75" customHeight="1">
      <c r="A10" s="13">
        <v>7</v>
      </c>
      <c r="B10" s="14" t="s">
        <v>31</v>
      </c>
      <c r="C10" s="15" t="s">
        <v>14</v>
      </c>
      <c r="D10" s="16" t="s">
        <v>15</v>
      </c>
      <c r="E10" s="21" t="s">
        <v>32</v>
      </c>
      <c r="F10" s="18" t="s">
        <v>29</v>
      </c>
      <c r="G10" s="13"/>
      <c r="H10" s="17" t="s">
        <v>30</v>
      </c>
      <c r="I10" s="19">
        <v>1700</v>
      </c>
      <c r="J10" s="20">
        <v>41369</v>
      </c>
      <c r="K10" s="20">
        <v>41734</v>
      </c>
      <c r="L10" s="19">
        <v>1700</v>
      </c>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row>
    <row r="11" spans="1:62" s="12" customFormat="1" ht="42.75" customHeight="1">
      <c r="A11" s="13">
        <v>8</v>
      </c>
      <c r="B11" s="14" t="s">
        <v>33</v>
      </c>
      <c r="C11" s="15" t="s">
        <v>14</v>
      </c>
      <c r="D11" s="16" t="s">
        <v>15</v>
      </c>
      <c r="E11" s="21" t="s">
        <v>34</v>
      </c>
      <c r="F11" s="18" t="s">
        <v>29</v>
      </c>
      <c r="G11" s="13"/>
      <c r="H11" s="17" t="s">
        <v>35</v>
      </c>
      <c r="I11" s="19">
        <v>0</v>
      </c>
      <c r="J11" s="20">
        <v>41275</v>
      </c>
      <c r="K11" s="20">
        <v>42369</v>
      </c>
      <c r="L11" s="19">
        <f>2209.84+15971.4</f>
        <v>18181.239999999998</v>
      </c>
      <c r="M11" s="53"/>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row>
    <row r="12" spans="1:62" s="12" customFormat="1" ht="42.75" customHeight="1">
      <c r="A12" s="13">
        <v>9</v>
      </c>
      <c r="B12" s="14" t="s">
        <v>36</v>
      </c>
      <c r="C12" s="15" t="s">
        <v>14</v>
      </c>
      <c r="D12" s="16" t="s">
        <v>15</v>
      </c>
      <c r="E12" s="22" t="s">
        <v>37</v>
      </c>
      <c r="F12" s="18" t="s">
        <v>29</v>
      </c>
      <c r="G12" s="13"/>
      <c r="H12" s="23" t="s">
        <v>38</v>
      </c>
      <c r="I12" s="24">
        <v>630</v>
      </c>
      <c r="J12" s="20" t="s">
        <v>39</v>
      </c>
      <c r="K12" s="25">
        <v>43100</v>
      </c>
      <c r="L12" s="19">
        <f>108+37.25+471+471</f>
        <v>1087.25</v>
      </c>
      <c r="M12" s="7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row>
    <row r="13" spans="1:62" s="12" customFormat="1" ht="42.75" customHeight="1">
      <c r="A13" s="13">
        <v>10</v>
      </c>
      <c r="B13" s="14" t="s">
        <v>40</v>
      </c>
      <c r="C13" s="15" t="s">
        <v>14</v>
      </c>
      <c r="D13" s="16" t="s">
        <v>15</v>
      </c>
      <c r="E13" s="22" t="s">
        <v>41</v>
      </c>
      <c r="F13" s="18" t="s">
        <v>29</v>
      </c>
      <c r="G13" s="13"/>
      <c r="H13" s="26" t="s">
        <v>42</v>
      </c>
      <c r="I13" s="24">
        <v>9500</v>
      </c>
      <c r="J13" s="25">
        <v>40295</v>
      </c>
      <c r="K13" s="25">
        <v>41639</v>
      </c>
      <c r="L13" s="19">
        <f>347.37+5084.8+7858.67</f>
        <v>13290.84</v>
      </c>
      <c r="M13" s="7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row>
    <row r="14" spans="1:62" s="12" customFormat="1" ht="42.75" customHeight="1">
      <c r="A14" s="13">
        <v>11</v>
      </c>
      <c r="B14" s="14" t="s">
        <v>43</v>
      </c>
      <c r="C14" s="15" t="s">
        <v>14</v>
      </c>
      <c r="D14" s="16" t="s">
        <v>15</v>
      </c>
      <c r="E14" s="21" t="s">
        <v>44</v>
      </c>
      <c r="F14" s="18" t="s">
        <v>29</v>
      </c>
      <c r="G14" s="13"/>
      <c r="H14" s="17" t="s">
        <v>45</v>
      </c>
      <c r="I14" s="19">
        <v>30000</v>
      </c>
      <c r="J14" s="20">
        <v>40623</v>
      </c>
      <c r="K14" s="20">
        <v>41718</v>
      </c>
      <c r="L14" s="19">
        <v>1320.88</v>
      </c>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row>
    <row r="15" spans="1:62" s="12" customFormat="1" ht="42.75" customHeight="1">
      <c r="A15" s="13">
        <v>12</v>
      </c>
      <c r="B15" s="14" t="s">
        <v>46</v>
      </c>
      <c r="C15" s="15" t="s">
        <v>14</v>
      </c>
      <c r="D15" s="16" t="s">
        <v>15</v>
      </c>
      <c r="E15" s="21" t="s">
        <v>47</v>
      </c>
      <c r="F15" s="18" t="s">
        <v>29</v>
      </c>
      <c r="G15" s="13"/>
      <c r="H15" s="17" t="s">
        <v>48</v>
      </c>
      <c r="I15" s="19">
        <v>30000</v>
      </c>
      <c r="J15" s="20">
        <v>41054</v>
      </c>
      <c r="K15" s="20">
        <v>41783</v>
      </c>
      <c r="L15" s="19">
        <f>13173.16+694.57</f>
        <v>13867.73</v>
      </c>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row>
    <row r="16" spans="1:62" s="12" customFormat="1" ht="68.25" customHeight="1">
      <c r="A16" s="13">
        <v>13</v>
      </c>
      <c r="B16" s="14">
        <v>0</v>
      </c>
      <c r="C16" s="15" t="s">
        <v>14</v>
      </c>
      <c r="D16" s="16" t="s">
        <v>15</v>
      </c>
      <c r="E16" s="21" t="s">
        <v>49</v>
      </c>
      <c r="F16" s="27" t="s">
        <v>50</v>
      </c>
      <c r="G16" s="13"/>
      <c r="H16" s="26" t="s">
        <v>51</v>
      </c>
      <c r="I16" s="24">
        <v>9000</v>
      </c>
      <c r="J16" s="25">
        <v>41153</v>
      </c>
      <c r="K16" s="20">
        <v>41882</v>
      </c>
      <c r="L16" s="19">
        <f>1529.24+4500+318.76</f>
        <v>6348</v>
      </c>
      <c r="M16" s="53"/>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row>
    <row r="17" spans="1:62" s="12" customFormat="1" ht="42.75" customHeight="1">
      <c r="A17" s="13">
        <v>14</v>
      </c>
      <c r="B17" s="14" t="s">
        <v>52</v>
      </c>
      <c r="C17" s="15" t="s">
        <v>14</v>
      </c>
      <c r="D17" s="16" t="s">
        <v>15</v>
      </c>
      <c r="E17" s="21" t="s">
        <v>53</v>
      </c>
      <c r="F17" s="18" t="s">
        <v>29</v>
      </c>
      <c r="G17" s="13"/>
      <c r="H17" s="17" t="s">
        <v>54</v>
      </c>
      <c r="I17" s="19">
        <f>34800</f>
        <v>34800</v>
      </c>
      <c r="J17" s="20">
        <v>40909</v>
      </c>
      <c r="K17" s="20">
        <v>42004</v>
      </c>
      <c r="L17" s="19">
        <f>3349.5+875.5+667+1073+565.5-14.5+594.5+420.5+478.5+884.5+333.5+522+609+609+754+594.5+5110.5</f>
        <v>17426.5</v>
      </c>
      <c r="M17" s="53"/>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row>
    <row r="18" spans="1:62" s="12" customFormat="1" ht="42.75" customHeight="1">
      <c r="A18" s="13">
        <v>15</v>
      </c>
      <c r="B18" s="14" t="s">
        <v>55</v>
      </c>
      <c r="C18" s="15" t="s">
        <v>14</v>
      </c>
      <c r="D18" s="16" t="s">
        <v>15</v>
      </c>
      <c r="E18" s="21" t="s">
        <v>56</v>
      </c>
      <c r="F18" s="18" t="s">
        <v>57</v>
      </c>
      <c r="G18" s="13"/>
      <c r="H18" s="17" t="s">
        <v>58</v>
      </c>
      <c r="I18" s="19">
        <v>32917.2</v>
      </c>
      <c r="J18" s="20">
        <v>40660</v>
      </c>
      <c r="K18" s="20">
        <v>42120</v>
      </c>
      <c r="L18" s="19">
        <f>2057.37+2057.36+2057.36+2057.36+2057.36+2057.36+4114.74+4616.47</f>
        <v>21075.380000000005</v>
      </c>
      <c r="M18" s="53"/>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row>
    <row r="19" spans="1:62" s="12" customFormat="1" ht="42.75" customHeight="1">
      <c r="A19" s="13">
        <v>16</v>
      </c>
      <c r="B19" s="14" t="s">
        <v>59</v>
      </c>
      <c r="C19" s="15" t="s">
        <v>14</v>
      </c>
      <c r="D19" s="16" t="s">
        <v>15</v>
      </c>
      <c r="E19" s="21" t="s">
        <v>60</v>
      </c>
      <c r="F19" s="18" t="s">
        <v>29</v>
      </c>
      <c r="G19" s="13"/>
      <c r="H19" s="17" t="s">
        <v>61</v>
      </c>
      <c r="I19" s="19">
        <v>31665</v>
      </c>
      <c r="J19" s="20">
        <v>40909</v>
      </c>
      <c r="K19" s="20">
        <v>41639</v>
      </c>
      <c r="L19" s="19">
        <f>11861.28+6411.12+685.5+683.22+140.4+367.92+1015.36+422+11874.33+449.27+952.9+3958.11+923.09</f>
        <v>39744.5</v>
      </c>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row>
    <row r="20" spans="1:62" s="12" customFormat="1" ht="42.75" customHeight="1">
      <c r="A20" s="13">
        <v>17</v>
      </c>
      <c r="B20" s="14" t="s">
        <v>62</v>
      </c>
      <c r="C20" s="15" t="s">
        <v>14</v>
      </c>
      <c r="D20" s="16" t="s">
        <v>15</v>
      </c>
      <c r="E20" s="28" t="s">
        <v>63</v>
      </c>
      <c r="F20" s="18" t="s">
        <v>29</v>
      </c>
      <c r="G20" s="13"/>
      <c r="H20" s="29" t="s">
        <v>64</v>
      </c>
      <c r="I20" s="19">
        <v>5100</v>
      </c>
      <c r="J20" s="20">
        <v>40909</v>
      </c>
      <c r="K20" s="20">
        <v>42004</v>
      </c>
      <c r="L20" s="19">
        <f>1700+125+141+46+23+1700</f>
        <v>3735</v>
      </c>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row>
    <row r="21" spans="1:62" s="12" customFormat="1" ht="48.75" customHeight="1">
      <c r="A21" s="13">
        <v>18</v>
      </c>
      <c r="B21" s="14">
        <v>1285240598</v>
      </c>
      <c r="C21" s="15" t="s">
        <v>14</v>
      </c>
      <c r="D21" s="16" t="s">
        <v>15</v>
      </c>
      <c r="E21" s="21" t="s">
        <v>65</v>
      </c>
      <c r="F21" s="18" t="s">
        <v>29</v>
      </c>
      <c r="G21" s="13"/>
      <c r="H21" s="17" t="s">
        <v>66</v>
      </c>
      <c r="I21" s="19">
        <f>4977+3600+3600+3600</f>
        <v>15777</v>
      </c>
      <c r="J21" s="20">
        <v>40179</v>
      </c>
      <c r="K21" s="20">
        <v>42004</v>
      </c>
      <c r="L21" s="19">
        <f>1634.99+90+505.68+388.38+388.38+388.38+440+70+90+3761.24+3346</f>
        <v>11103.05</v>
      </c>
      <c r="M21" s="53"/>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row>
    <row r="22" spans="1:62" s="12" customFormat="1" ht="42.75" customHeight="1">
      <c r="A22" s="13">
        <v>19</v>
      </c>
      <c r="B22" s="14" t="s">
        <v>67</v>
      </c>
      <c r="C22" s="15" t="s">
        <v>14</v>
      </c>
      <c r="D22" s="16" t="s">
        <v>15</v>
      </c>
      <c r="E22" s="21" t="s">
        <v>68</v>
      </c>
      <c r="F22" s="18" t="s">
        <v>29</v>
      </c>
      <c r="G22" s="13"/>
      <c r="H22" s="17" t="s">
        <v>69</v>
      </c>
      <c r="I22" s="19">
        <v>2883</v>
      </c>
      <c r="J22" s="20">
        <v>40756</v>
      </c>
      <c r="K22" s="20">
        <v>41851</v>
      </c>
      <c r="L22" s="19">
        <f>675.85+363+598+106.56</f>
        <v>1743.4099999999999</v>
      </c>
      <c r="M22" s="53"/>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row>
    <row r="23" spans="1:62" s="12" customFormat="1" ht="42.75" customHeight="1">
      <c r="A23" s="13">
        <v>20</v>
      </c>
      <c r="B23" s="14">
        <v>1285740236</v>
      </c>
      <c r="C23" s="15" t="s">
        <v>14</v>
      </c>
      <c r="D23" s="16" t="s">
        <v>15</v>
      </c>
      <c r="E23" s="21" t="s">
        <v>70</v>
      </c>
      <c r="F23" s="18" t="s">
        <v>29</v>
      </c>
      <c r="G23" s="13"/>
      <c r="H23" s="17" t="s">
        <v>71</v>
      </c>
      <c r="I23" s="19">
        <v>1950</v>
      </c>
      <c r="J23" s="20">
        <v>40544</v>
      </c>
      <c r="K23" s="20">
        <v>42004</v>
      </c>
      <c r="L23" s="19">
        <v>297.4</v>
      </c>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row>
    <row r="24" spans="1:62" s="12" customFormat="1" ht="42.75" customHeight="1">
      <c r="A24" s="13">
        <v>21</v>
      </c>
      <c r="B24" s="14" t="s">
        <v>72</v>
      </c>
      <c r="C24" s="15" t="s">
        <v>14</v>
      </c>
      <c r="D24" s="16" t="s">
        <v>15</v>
      </c>
      <c r="E24" s="21" t="s">
        <v>73</v>
      </c>
      <c r="F24" s="18" t="s">
        <v>29</v>
      </c>
      <c r="G24" s="13"/>
      <c r="H24" s="17" t="s">
        <v>74</v>
      </c>
      <c r="I24" s="19">
        <v>3300</v>
      </c>
      <c r="J24" s="20">
        <v>41275</v>
      </c>
      <c r="K24" s="20">
        <v>42004</v>
      </c>
      <c r="L24" s="19">
        <f>550+550+550+550+1100</f>
        <v>3300</v>
      </c>
      <c r="M24" s="53"/>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row>
    <row r="25" spans="1:62" s="12" customFormat="1" ht="42.75" customHeight="1">
      <c r="A25" s="13">
        <v>22</v>
      </c>
      <c r="B25" s="14" t="s">
        <v>75</v>
      </c>
      <c r="C25" s="15" t="s">
        <v>14</v>
      </c>
      <c r="D25" s="16" t="s">
        <v>15</v>
      </c>
      <c r="E25" s="21" t="s">
        <v>76</v>
      </c>
      <c r="F25" s="18" t="s">
        <v>29</v>
      </c>
      <c r="G25" s="13"/>
      <c r="H25" s="17" t="s">
        <v>77</v>
      </c>
      <c r="I25" s="19">
        <v>3307.78</v>
      </c>
      <c r="J25" s="20">
        <v>40909</v>
      </c>
      <c r="K25" s="20">
        <v>42004</v>
      </c>
      <c r="L25" s="19">
        <f>791.5+691.22+311.5+539.66</f>
        <v>2333.88</v>
      </c>
      <c r="M25" s="53"/>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row>
    <row r="26" spans="1:62" s="12" customFormat="1" ht="42.75" customHeight="1">
      <c r="A26" s="13">
        <v>23</v>
      </c>
      <c r="B26" s="14">
        <v>1286559611</v>
      </c>
      <c r="C26" s="15" t="s">
        <v>14</v>
      </c>
      <c r="D26" s="16" t="s">
        <v>15</v>
      </c>
      <c r="E26" s="21" t="s">
        <v>78</v>
      </c>
      <c r="F26" s="18" t="s">
        <v>29</v>
      </c>
      <c r="G26" s="13"/>
      <c r="H26" s="17" t="s">
        <v>79</v>
      </c>
      <c r="I26" s="19">
        <v>18000</v>
      </c>
      <c r="J26" s="20">
        <v>40545</v>
      </c>
      <c r="K26" s="20">
        <v>42004</v>
      </c>
      <c r="L26" s="19">
        <f>1710.17+362.68+813.09+175.6+389.68+688.35+296+310.77+179.18+192.7+333.59+183.25+197.65+1192.16+1323.28</f>
        <v>8348.15</v>
      </c>
      <c r="M26" s="53"/>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row>
    <row r="27" spans="1:12" s="11" customFormat="1" ht="42.75" customHeight="1">
      <c r="A27" s="13">
        <v>24</v>
      </c>
      <c r="B27" s="14">
        <v>1096776030</v>
      </c>
      <c r="C27" s="15" t="s">
        <v>14</v>
      </c>
      <c r="D27" s="16" t="s">
        <v>15</v>
      </c>
      <c r="E27" s="21" t="s">
        <v>80</v>
      </c>
      <c r="F27" s="15" t="s">
        <v>29</v>
      </c>
      <c r="G27" s="13"/>
      <c r="H27" s="17" t="s">
        <v>81</v>
      </c>
      <c r="I27" s="19">
        <v>7440</v>
      </c>
      <c r="J27" s="20">
        <v>40544</v>
      </c>
      <c r="K27" s="20">
        <v>42004</v>
      </c>
      <c r="L27" s="19">
        <v>1080</v>
      </c>
    </row>
    <row r="28" spans="1:13" s="11" customFormat="1" ht="42.75" customHeight="1">
      <c r="A28" s="13">
        <v>25</v>
      </c>
      <c r="B28" s="14" t="s">
        <v>82</v>
      </c>
      <c r="C28" s="15" t="s">
        <v>14</v>
      </c>
      <c r="D28" s="16" t="s">
        <v>15</v>
      </c>
      <c r="E28" s="21" t="s">
        <v>83</v>
      </c>
      <c r="F28" s="15" t="s">
        <v>29</v>
      </c>
      <c r="G28" s="13"/>
      <c r="H28" s="17" t="s">
        <v>84</v>
      </c>
      <c r="I28" s="19">
        <v>4500</v>
      </c>
      <c r="J28" s="20">
        <v>40909</v>
      </c>
      <c r="K28" s="20">
        <v>42735</v>
      </c>
      <c r="L28" s="19">
        <f>900+900+900+1883.3</f>
        <v>4583.3</v>
      </c>
      <c r="M28" s="71"/>
    </row>
    <row r="29" spans="1:12" s="11" customFormat="1" ht="42.75" customHeight="1">
      <c r="A29" s="13">
        <v>26</v>
      </c>
      <c r="B29" s="14" t="s">
        <v>85</v>
      </c>
      <c r="C29" s="15" t="s">
        <v>14</v>
      </c>
      <c r="D29" s="16" t="s">
        <v>15</v>
      </c>
      <c r="E29" s="21" t="s">
        <v>86</v>
      </c>
      <c r="F29" s="15" t="s">
        <v>29</v>
      </c>
      <c r="G29" s="13"/>
      <c r="H29" s="17" t="s">
        <v>87</v>
      </c>
      <c r="I29" s="19">
        <v>450</v>
      </c>
      <c r="J29" s="20">
        <v>40909</v>
      </c>
      <c r="K29" s="20">
        <v>42004</v>
      </c>
      <c r="L29" s="19">
        <f>150+150</f>
        <v>300</v>
      </c>
    </row>
    <row r="30" spans="1:12" s="11" customFormat="1" ht="42.75" customHeight="1">
      <c r="A30" s="13">
        <v>27</v>
      </c>
      <c r="B30" s="14" t="s">
        <v>88</v>
      </c>
      <c r="C30" s="15" t="s">
        <v>14</v>
      </c>
      <c r="D30" s="16" t="s">
        <v>15</v>
      </c>
      <c r="E30" s="21" t="s">
        <v>89</v>
      </c>
      <c r="F30" s="15" t="s">
        <v>29</v>
      </c>
      <c r="G30" s="13"/>
      <c r="H30" s="17" t="s">
        <v>90</v>
      </c>
      <c r="I30" s="19">
        <v>340</v>
      </c>
      <c r="J30" s="20">
        <v>41303</v>
      </c>
      <c r="K30" s="20">
        <v>41639</v>
      </c>
      <c r="L30" s="19">
        <f>340+70</f>
        <v>410</v>
      </c>
    </row>
    <row r="31" spans="1:12" s="11" customFormat="1" ht="42.75" customHeight="1">
      <c r="A31" s="13">
        <v>28</v>
      </c>
      <c r="B31" s="14" t="s">
        <v>91</v>
      </c>
      <c r="C31" s="15" t="s">
        <v>14</v>
      </c>
      <c r="D31" s="16" t="s">
        <v>15</v>
      </c>
      <c r="E31" s="21" t="s">
        <v>92</v>
      </c>
      <c r="F31" s="15" t="s">
        <v>29</v>
      </c>
      <c r="G31" s="13"/>
      <c r="H31" s="17" t="s">
        <v>93</v>
      </c>
      <c r="I31" s="19">
        <v>413.16</v>
      </c>
      <c r="J31" s="20">
        <v>40909</v>
      </c>
      <c r="K31" s="20">
        <v>41639</v>
      </c>
      <c r="L31" s="19">
        <f>206.58+103.29+103.29</f>
        <v>413.16</v>
      </c>
    </row>
    <row r="32" spans="1:12" s="11" customFormat="1" ht="42.75" customHeight="1">
      <c r="A32" s="13">
        <v>29</v>
      </c>
      <c r="B32" s="14" t="s">
        <v>94</v>
      </c>
      <c r="C32" s="15" t="s">
        <v>14</v>
      </c>
      <c r="D32" s="16" t="s">
        <v>15</v>
      </c>
      <c r="E32" s="21" t="s">
        <v>95</v>
      </c>
      <c r="F32" s="15" t="s">
        <v>29</v>
      </c>
      <c r="G32" s="13"/>
      <c r="H32" s="17" t="s">
        <v>96</v>
      </c>
      <c r="I32" s="19">
        <v>4500</v>
      </c>
      <c r="J32" s="20">
        <v>40544</v>
      </c>
      <c r="K32" s="20">
        <v>41639</v>
      </c>
      <c r="L32" s="19">
        <v>0</v>
      </c>
    </row>
    <row r="33" spans="1:12" s="11" customFormat="1" ht="42.75" customHeight="1">
      <c r="A33" s="13">
        <v>30</v>
      </c>
      <c r="B33" s="14" t="s">
        <v>97</v>
      </c>
      <c r="C33" s="15" t="s">
        <v>14</v>
      </c>
      <c r="D33" s="16" t="s">
        <v>15</v>
      </c>
      <c r="E33" s="21" t="s">
        <v>98</v>
      </c>
      <c r="F33" s="15" t="s">
        <v>29</v>
      </c>
      <c r="G33" s="13"/>
      <c r="H33" s="17" t="s">
        <v>99</v>
      </c>
      <c r="I33" s="19">
        <v>0</v>
      </c>
      <c r="J33" s="20">
        <v>41122</v>
      </c>
      <c r="K33" s="20">
        <v>41486</v>
      </c>
      <c r="L33" s="19">
        <v>0</v>
      </c>
    </row>
    <row r="34" spans="1:12" s="11" customFormat="1" ht="42.75" customHeight="1">
      <c r="A34" s="13">
        <v>31</v>
      </c>
      <c r="B34" s="14" t="s">
        <v>100</v>
      </c>
      <c r="C34" s="15" t="s">
        <v>14</v>
      </c>
      <c r="D34" s="16" t="s">
        <v>15</v>
      </c>
      <c r="E34" s="21" t="s">
        <v>101</v>
      </c>
      <c r="F34" s="15" t="s">
        <v>29</v>
      </c>
      <c r="G34" s="13"/>
      <c r="H34" s="17" t="s">
        <v>99</v>
      </c>
      <c r="I34" s="19">
        <v>1050</v>
      </c>
      <c r="J34" s="20">
        <v>41153</v>
      </c>
      <c r="K34" s="20">
        <v>41517</v>
      </c>
      <c r="L34" s="19">
        <f>252+88.2+79.8+92.4+84+92.4+84</f>
        <v>772.8</v>
      </c>
    </row>
    <row r="35" spans="1:12" s="11" customFormat="1" ht="42.75" customHeight="1">
      <c r="A35" s="13">
        <v>32</v>
      </c>
      <c r="B35" s="14" t="s">
        <v>102</v>
      </c>
      <c r="C35" s="15" t="s">
        <v>14</v>
      </c>
      <c r="D35" s="16" t="s">
        <v>15</v>
      </c>
      <c r="E35" s="21" t="s">
        <v>103</v>
      </c>
      <c r="F35" s="15" t="s">
        <v>29</v>
      </c>
      <c r="G35" s="13"/>
      <c r="H35" s="17" t="s">
        <v>99</v>
      </c>
      <c r="I35" s="19">
        <v>585</v>
      </c>
      <c r="J35" s="20">
        <v>41153</v>
      </c>
      <c r="K35" s="20">
        <v>41517</v>
      </c>
      <c r="L35" s="19">
        <v>585</v>
      </c>
    </row>
    <row r="36" spans="1:12" s="11" customFormat="1" ht="147" customHeight="1">
      <c r="A36" s="13">
        <v>33</v>
      </c>
      <c r="B36" s="14">
        <v>0</v>
      </c>
      <c r="C36" s="15" t="s">
        <v>14</v>
      </c>
      <c r="D36" s="16" t="s">
        <v>15</v>
      </c>
      <c r="E36" s="21" t="s">
        <v>104</v>
      </c>
      <c r="F36" s="30" t="s">
        <v>105</v>
      </c>
      <c r="G36" s="13" t="s">
        <v>106</v>
      </c>
      <c r="H36" s="17" t="s">
        <v>107</v>
      </c>
      <c r="I36" s="19">
        <v>0</v>
      </c>
      <c r="J36" s="20">
        <v>39814</v>
      </c>
      <c r="K36" s="20">
        <v>42735</v>
      </c>
      <c r="L36" s="19">
        <v>0</v>
      </c>
    </row>
    <row r="37" spans="1:12" s="11" customFormat="1" ht="42.75" customHeight="1">
      <c r="A37" s="13">
        <v>34</v>
      </c>
      <c r="B37" s="14">
        <v>0</v>
      </c>
      <c r="C37" s="15" t="s">
        <v>14</v>
      </c>
      <c r="D37" s="16" t="s">
        <v>15</v>
      </c>
      <c r="E37" s="21" t="s">
        <v>108</v>
      </c>
      <c r="F37" s="15" t="s">
        <v>29</v>
      </c>
      <c r="G37" s="13"/>
      <c r="H37" s="17" t="s">
        <v>107</v>
      </c>
      <c r="I37" s="19">
        <v>0</v>
      </c>
      <c r="J37" s="20" t="s">
        <v>39</v>
      </c>
      <c r="K37" s="20">
        <v>42735</v>
      </c>
      <c r="L37" s="19">
        <v>0</v>
      </c>
    </row>
    <row r="38" spans="1:13" s="11" customFormat="1" ht="42.75" customHeight="1">
      <c r="A38" s="13">
        <v>35</v>
      </c>
      <c r="B38" s="14" t="s">
        <v>109</v>
      </c>
      <c r="C38" s="15" t="s">
        <v>14</v>
      </c>
      <c r="D38" s="16" t="s">
        <v>15</v>
      </c>
      <c r="E38" s="21" t="s">
        <v>110</v>
      </c>
      <c r="F38" s="15" t="s">
        <v>29</v>
      </c>
      <c r="G38" s="13"/>
      <c r="H38" s="17" t="s">
        <v>111</v>
      </c>
      <c r="I38" s="19">
        <v>3500</v>
      </c>
      <c r="J38" s="20">
        <v>41271</v>
      </c>
      <c r="K38" s="20">
        <v>42001</v>
      </c>
      <c r="L38" s="19">
        <f>371+509.93+87.71+133.94+276.16+324.35+131.74+76.52+61.75+44.92+87.02+584.38+80.3+97.41+67.62+738.07</f>
        <v>3672.8200000000006</v>
      </c>
      <c r="M38" s="53"/>
    </row>
    <row r="39" spans="1:13" s="11" customFormat="1" ht="42.75" customHeight="1">
      <c r="A39" s="13">
        <v>36</v>
      </c>
      <c r="B39" s="14" t="s">
        <v>112</v>
      </c>
      <c r="C39" s="15" t="s">
        <v>14</v>
      </c>
      <c r="D39" s="16" t="s">
        <v>15</v>
      </c>
      <c r="E39" s="21" t="s">
        <v>113</v>
      </c>
      <c r="F39" s="15" t="s">
        <v>29</v>
      </c>
      <c r="G39" s="13"/>
      <c r="H39" s="17" t="s">
        <v>114</v>
      </c>
      <c r="I39" s="19">
        <v>16000</v>
      </c>
      <c r="J39" s="20">
        <v>40544</v>
      </c>
      <c r="K39" s="20">
        <v>42004</v>
      </c>
      <c r="L39" s="19">
        <f>74+148+290.75+55.5+185+563.75+92.17+443.5</f>
        <v>1852.67</v>
      </c>
      <c r="M39" s="53"/>
    </row>
    <row r="40" spans="1:12" s="11" customFormat="1" ht="42.75" customHeight="1">
      <c r="A40" s="13">
        <v>37</v>
      </c>
      <c r="B40" s="14" t="s">
        <v>115</v>
      </c>
      <c r="C40" s="15" t="s">
        <v>14</v>
      </c>
      <c r="D40" s="16" t="s">
        <v>15</v>
      </c>
      <c r="E40" s="21" t="s">
        <v>116</v>
      </c>
      <c r="F40" s="15" t="s">
        <v>29</v>
      </c>
      <c r="G40" s="13"/>
      <c r="H40" s="17" t="s">
        <v>117</v>
      </c>
      <c r="I40" s="19">
        <v>15070</v>
      </c>
      <c r="J40" s="20">
        <v>40909</v>
      </c>
      <c r="K40" s="20">
        <v>41639</v>
      </c>
      <c r="L40" s="19">
        <f>1418+741+1238+117+167+1418+167+167+1238+741+1418</f>
        <v>8830</v>
      </c>
    </row>
    <row r="41" spans="1:12" s="11" customFormat="1" ht="42.75" customHeight="1">
      <c r="A41" s="13">
        <v>38</v>
      </c>
      <c r="B41" s="14">
        <v>3208402914</v>
      </c>
      <c r="C41" s="15" t="s">
        <v>14</v>
      </c>
      <c r="D41" s="16" t="s">
        <v>15</v>
      </c>
      <c r="E41" s="17" t="s">
        <v>118</v>
      </c>
      <c r="F41" s="15" t="s">
        <v>57</v>
      </c>
      <c r="G41" s="13"/>
      <c r="H41" s="29" t="s">
        <v>119</v>
      </c>
      <c r="I41" s="19">
        <v>120980</v>
      </c>
      <c r="J41" s="20">
        <v>40788</v>
      </c>
      <c r="K41" s="20">
        <v>41517</v>
      </c>
      <c r="L41" s="19">
        <f>28272+4712-2219.72+42761.4</f>
        <v>73525.68</v>
      </c>
    </row>
    <row r="42" spans="1:12" s="11" customFormat="1" ht="42.75" customHeight="1">
      <c r="A42" s="13">
        <v>39</v>
      </c>
      <c r="B42" s="14" t="s">
        <v>120</v>
      </c>
      <c r="C42" s="15" t="s">
        <v>14</v>
      </c>
      <c r="D42" s="16" t="s">
        <v>15</v>
      </c>
      <c r="E42" s="21" t="s">
        <v>121</v>
      </c>
      <c r="F42" s="15" t="s">
        <v>29</v>
      </c>
      <c r="G42" s="13"/>
      <c r="H42" s="17" t="s">
        <v>122</v>
      </c>
      <c r="I42" s="19">
        <v>1350</v>
      </c>
      <c r="J42" s="20">
        <v>41275</v>
      </c>
      <c r="K42" s="20">
        <v>41639</v>
      </c>
      <c r="L42" s="19">
        <f>329.24+329.24+329.24+329.24+25.33</f>
        <v>1342.29</v>
      </c>
    </row>
    <row r="43" spans="1:13" s="11" customFormat="1" ht="42.75" customHeight="1">
      <c r="A43" s="13">
        <v>40</v>
      </c>
      <c r="B43" s="14" t="s">
        <v>123</v>
      </c>
      <c r="C43" s="15" t="s">
        <v>14</v>
      </c>
      <c r="D43" s="16" t="s">
        <v>15</v>
      </c>
      <c r="E43" s="21" t="s">
        <v>124</v>
      </c>
      <c r="F43" s="15" t="s">
        <v>29</v>
      </c>
      <c r="G43" s="13"/>
      <c r="H43" s="17" t="s">
        <v>125</v>
      </c>
      <c r="I43" s="19">
        <v>22000</v>
      </c>
      <c r="J43" s="20">
        <v>40909</v>
      </c>
      <c r="K43" s="20">
        <v>42369</v>
      </c>
      <c r="L43" s="19">
        <f>3330.06+913.65+857.26+873.79+2408.27+274.01+650.4+1770.75+4306.2</f>
        <v>15384.39</v>
      </c>
      <c r="M43" s="53"/>
    </row>
    <row r="44" spans="1:13" s="11" customFormat="1" ht="42.75" customHeight="1">
      <c r="A44" s="13">
        <v>41</v>
      </c>
      <c r="B44" s="14" t="s">
        <v>126</v>
      </c>
      <c r="C44" s="15" t="s">
        <v>14</v>
      </c>
      <c r="D44" s="16" t="s">
        <v>15</v>
      </c>
      <c r="E44" s="21" t="s">
        <v>127</v>
      </c>
      <c r="F44" s="15" t="s">
        <v>29</v>
      </c>
      <c r="G44" s="13"/>
      <c r="H44" s="17" t="s">
        <v>128</v>
      </c>
      <c r="I44" s="19">
        <v>29880</v>
      </c>
      <c r="J44" s="20">
        <v>41275</v>
      </c>
      <c r="K44" s="20">
        <v>42369</v>
      </c>
      <c r="L44" s="19">
        <f>4980+4980+77+4980+4980+6803.28</f>
        <v>26800.28</v>
      </c>
      <c r="M44" s="53"/>
    </row>
    <row r="45" spans="1:13" s="11" customFormat="1" ht="42.75" customHeight="1">
      <c r="A45" s="13">
        <v>42</v>
      </c>
      <c r="B45" s="14">
        <v>1502436966</v>
      </c>
      <c r="C45" s="15" t="s">
        <v>14</v>
      </c>
      <c r="D45" s="16" t="s">
        <v>15</v>
      </c>
      <c r="E45" s="21" t="s">
        <v>129</v>
      </c>
      <c r="F45" s="15" t="s">
        <v>29</v>
      </c>
      <c r="G45" s="13"/>
      <c r="H45" s="17" t="s">
        <v>130</v>
      </c>
      <c r="I45" s="19">
        <v>13200</v>
      </c>
      <c r="J45" s="20">
        <v>40664</v>
      </c>
      <c r="K45" s="20">
        <v>42124</v>
      </c>
      <c r="L45" s="19">
        <f>5300.32+825+825+825+200+825+2109.02+3707.38</f>
        <v>14616.720000000001</v>
      </c>
      <c r="M45" s="53"/>
    </row>
    <row r="46" spans="1:13" s="11" customFormat="1" ht="42.75" customHeight="1">
      <c r="A46" s="13">
        <v>43</v>
      </c>
      <c r="B46" s="14" t="s">
        <v>131</v>
      </c>
      <c r="C46" s="15" t="s">
        <v>14</v>
      </c>
      <c r="D46" s="16" t="s">
        <v>15</v>
      </c>
      <c r="E46" s="21" t="s">
        <v>132</v>
      </c>
      <c r="F46" s="15" t="s">
        <v>29</v>
      </c>
      <c r="G46" s="13"/>
      <c r="H46" s="17" t="s">
        <v>133</v>
      </c>
      <c r="I46" s="19">
        <v>12500</v>
      </c>
      <c r="J46" s="20">
        <v>40664</v>
      </c>
      <c r="K46" s="20">
        <v>42124</v>
      </c>
      <c r="L46" s="19">
        <f>2304+2565+114+96+32+110.49</f>
        <v>5221.49</v>
      </c>
      <c r="M46" s="53"/>
    </row>
    <row r="47" spans="1:12" s="11" customFormat="1" ht="42.75" customHeight="1">
      <c r="A47" s="13">
        <v>44</v>
      </c>
      <c r="B47" s="14" t="s">
        <v>134</v>
      </c>
      <c r="C47" s="15" t="s">
        <v>14</v>
      </c>
      <c r="D47" s="16" t="s">
        <v>15</v>
      </c>
      <c r="E47" s="28" t="s">
        <v>135</v>
      </c>
      <c r="F47" s="15" t="s">
        <v>29</v>
      </c>
      <c r="G47" s="13"/>
      <c r="H47" s="17" t="s">
        <v>136</v>
      </c>
      <c r="I47" s="19">
        <v>24793.39</v>
      </c>
      <c r="J47" s="20">
        <v>40997</v>
      </c>
      <c r="K47" s="20">
        <v>41485</v>
      </c>
      <c r="L47" s="19">
        <f>4132.23+4132.23+4132.23</f>
        <v>12396.689999999999</v>
      </c>
    </row>
    <row r="48" spans="1:12" s="11" customFormat="1" ht="42.75" customHeight="1">
      <c r="A48" s="13">
        <v>45</v>
      </c>
      <c r="B48" s="14" t="s">
        <v>137</v>
      </c>
      <c r="C48" s="15" t="s">
        <v>14</v>
      </c>
      <c r="D48" s="16" t="s">
        <v>15</v>
      </c>
      <c r="E48" s="21" t="s">
        <v>138</v>
      </c>
      <c r="F48" s="15" t="s">
        <v>29</v>
      </c>
      <c r="G48" s="13"/>
      <c r="H48" s="17" t="s">
        <v>139</v>
      </c>
      <c r="I48" s="19">
        <v>3000</v>
      </c>
      <c r="J48" s="20">
        <v>41275</v>
      </c>
      <c r="K48" s="20">
        <v>41639</v>
      </c>
      <c r="L48" s="19">
        <f>100+50</f>
        <v>150</v>
      </c>
    </row>
    <row r="49" spans="1:12" s="11" customFormat="1" ht="42.75" customHeight="1">
      <c r="A49" s="13">
        <v>46</v>
      </c>
      <c r="B49" s="14" t="s">
        <v>140</v>
      </c>
      <c r="C49" s="15" t="s">
        <v>14</v>
      </c>
      <c r="D49" s="16" t="s">
        <v>15</v>
      </c>
      <c r="E49" s="21" t="s">
        <v>141</v>
      </c>
      <c r="F49" s="15" t="s">
        <v>29</v>
      </c>
      <c r="G49" s="13"/>
      <c r="H49" s="17" t="s">
        <v>142</v>
      </c>
      <c r="I49" s="19">
        <v>12000</v>
      </c>
      <c r="J49" s="20">
        <v>41275</v>
      </c>
      <c r="K49" s="20">
        <v>42004</v>
      </c>
      <c r="L49" s="19">
        <f>862+510+196.56+1519.99+39.76</f>
        <v>3128.3100000000004</v>
      </c>
    </row>
    <row r="50" spans="1:12" s="11" customFormat="1" ht="42.75" customHeight="1">
      <c r="A50" s="13">
        <v>47</v>
      </c>
      <c r="B50" s="14">
        <v>1020793108</v>
      </c>
      <c r="C50" s="15" t="s">
        <v>14</v>
      </c>
      <c r="D50" s="16" t="s">
        <v>15</v>
      </c>
      <c r="E50" s="21" t="s">
        <v>143</v>
      </c>
      <c r="F50" s="15" t="s">
        <v>57</v>
      </c>
      <c r="G50" s="13"/>
      <c r="H50" s="17" t="s">
        <v>144</v>
      </c>
      <c r="I50" s="19">
        <v>181500</v>
      </c>
      <c r="J50" s="20">
        <v>40544</v>
      </c>
      <c r="K50" s="20">
        <v>41639</v>
      </c>
      <c r="L50" s="19">
        <f>37016.58+5288.08+5288.08+5288.08+5288.08+5414.97+5414.97+5414.97+5414.97+5414.97+5414.97</f>
        <v>90658.72000000002</v>
      </c>
    </row>
    <row r="51" spans="1:12" s="11" customFormat="1" ht="42.75" customHeight="1">
      <c r="A51" s="13">
        <v>48</v>
      </c>
      <c r="B51" s="14" t="s">
        <v>145</v>
      </c>
      <c r="C51" s="15" t="s">
        <v>14</v>
      </c>
      <c r="D51" s="16" t="s">
        <v>15</v>
      </c>
      <c r="E51" s="21" t="s">
        <v>146</v>
      </c>
      <c r="F51" s="15" t="s">
        <v>29</v>
      </c>
      <c r="G51" s="13"/>
      <c r="H51" s="17" t="s">
        <v>147</v>
      </c>
      <c r="I51" s="19">
        <v>2100</v>
      </c>
      <c r="J51" s="20">
        <v>40909</v>
      </c>
      <c r="K51" s="20">
        <v>42004</v>
      </c>
      <c r="L51" s="19">
        <f>314.3+570.8</f>
        <v>885.0999999999999</v>
      </c>
    </row>
    <row r="52" spans="1:12" s="11" customFormat="1" ht="42.75" customHeight="1">
      <c r="A52" s="13">
        <v>49</v>
      </c>
      <c r="B52" s="14" t="s">
        <v>148</v>
      </c>
      <c r="C52" s="15" t="s">
        <v>14</v>
      </c>
      <c r="D52" s="16" t="s">
        <v>15</v>
      </c>
      <c r="E52" s="21" t="s">
        <v>149</v>
      </c>
      <c r="F52" s="15" t="s">
        <v>29</v>
      </c>
      <c r="G52" s="13"/>
      <c r="H52" s="17" t="s">
        <v>150</v>
      </c>
      <c r="I52" s="19">
        <f>7650+8000</f>
        <v>15650</v>
      </c>
      <c r="J52" s="20">
        <v>40544</v>
      </c>
      <c r="K52" s="20">
        <v>42004</v>
      </c>
      <c r="L52" s="19">
        <f>1875+1875+4600+1700</f>
        <v>10050</v>
      </c>
    </row>
    <row r="53" spans="1:12" s="11" customFormat="1" ht="42.75" customHeight="1">
      <c r="A53" s="13">
        <v>50</v>
      </c>
      <c r="B53" s="14" t="s">
        <v>151</v>
      </c>
      <c r="C53" s="15" t="s">
        <v>14</v>
      </c>
      <c r="D53" s="16" t="s">
        <v>15</v>
      </c>
      <c r="E53" s="21" t="s">
        <v>152</v>
      </c>
      <c r="F53" s="15" t="s">
        <v>29</v>
      </c>
      <c r="G53" s="13"/>
      <c r="H53" s="17" t="s">
        <v>153</v>
      </c>
      <c r="I53" s="31">
        <v>19050</v>
      </c>
      <c r="J53" s="32">
        <v>40544</v>
      </c>
      <c r="K53" s="20">
        <v>41639</v>
      </c>
      <c r="L53" s="19">
        <f>6350+3175</f>
        <v>9525</v>
      </c>
    </row>
    <row r="54" spans="1:12" s="11" customFormat="1" ht="218.25" customHeight="1">
      <c r="A54" s="13">
        <v>51</v>
      </c>
      <c r="B54" s="14" t="s">
        <v>154</v>
      </c>
      <c r="C54" s="15" t="s">
        <v>14</v>
      </c>
      <c r="D54" s="16" t="s">
        <v>15</v>
      </c>
      <c r="E54" s="21" t="s">
        <v>155</v>
      </c>
      <c r="F54" s="30" t="s">
        <v>105</v>
      </c>
      <c r="G54" s="33" t="s">
        <v>156</v>
      </c>
      <c r="H54" s="17" t="s">
        <v>157</v>
      </c>
      <c r="I54" s="19">
        <v>703834.56</v>
      </c>
      <c r="J54" s="20">
        <v>40909</v>
      </c>
      <c r="K54" s="20">
        <v>41639</v>
      </c>
      <c r="L54" s="19">
        <f>59352.41+11307.32+14063.59+9081.09+7567.34+5469.09+5444.96+8515.57+6682.45+6029.68+2</f>
        <v>133515.5</v>
      </c>
    </row>
    <row r="55" spans="1:13" s="11" customFormat="1" ht="42.75" customHeight="1">
      <c r="A55" s="13">
        <v>52</v>
      </c>
      <c r="B55" s="14" t="s">
        <v>158</v>
      </c>
      <c r="C55" s="15" t="s">
        <v>14</v>
      </c>
      <c r="D55" s="16" t="s">
        <v>15</v>
      </c>
      <c r="E55" s="21" t="s">
        <v>159</v>
      </c>
      <c r="F55" s="15" t="s">
        <v>29</v>
      </c>
      <c r="G55" s="13"/>
      <c r="H55" s="17" t="s">
        <v>160</v>
      </c>
      <c r="I55" s="19">
        <v>4000</v>
      </c>
      <c r="J55" s="20">
        <v>41275</v>
      </c>
      <c r="K55" s="20">
        <v>42004</v>
      </c>
      <c r="L55" s="19">
        <f>139.09+745.45+57.69+363.64+181.82+63.64+218.18+1032.79+345.9</f>
        <v>3148.2000000000003</v>
      </c>
      <c r="M55" s="53"/>
    </row>
    <row r="56" spans="1:12" s="11" customFormat="1" ht="42.75" customHeight="1">
      <c r="A56" s="13">
        <v>53</v>
      </c>
      <c r="B56" s="14" t="s">
        <v>161</v>
      </c>
      <c r="C56" s="15" t="s">
        <v>14</v>
      </c>
      <c r="D56" s="16" t="s">
        <v>15</v>
      </c>
      <c r="E56" s="21" t="s">
        <v>162</v>
      </c>
      <c r="F56" s="15" t="s">
        <v>29</v>
      </c>
      <c r="G56" s="13"/>
      <c r="H56" s="17" t="s">
        <v>163</v>
      </c>
      <c r="I56" s="19">
        <v>26000</v>
      </c>
      <c r="J56" s="20">
        <v>40983</v>
      </c>
      <c r="K56" s="20">
        <v>41639</v>
      </c>
      <c r="L56" s="19">
        <f>4469.07+5200.13+5200.3</f>
        <v>14869.5</v>
      </c>
    </row>
    <row r="57" spans="1:13" s="11" customFormat="1" ht="42.75" customHeight="1">
      <c r="A57" s="13">
        <v>54</v>
      </c>
      <c r="B57" s="14" t="s">
        <v>164</v>
      </c>
      <c r="C57" s="15" t="s">
        <v>14</v>
      </c>
      <c r="D57" s="16" t="s">
        <v>15</v>
      </c>
      <c r="E57" s="21" t="s">
        <v>165</v>
      </c>
      <c r="F57" s="15" t="s">
        <v>57</v>
      </c>
      <c r="G57" s="13"/>
      <c r="H57" s="17" t="s">
        <v>166</v>
      </c>
      <c r="I57" s="19">
        <v>15883.2</v>
      </c>
      <c r="J57" s="20">
        <v>40332</v>
      </c>
      <c r="K57" s="20">
        <v>42157</v>
      </c>
      <c r="L57" s="19">
        <f>794.16+264.72+264.72+264.72+264.72+264.72+264.72+264.72+264.72+264.72+264.72+7.5+264.72+264.72+264.72+264.72+1588.33+2911.93+264.72</f>
        <v>9272.720000000001</v>
      </c>
      <c r="M57" s="71"/>
    </row>
    <row r="58" spans="1:12" s="11" customFormat="1" ht="42.75" customHeight="1">
      <c r="A58" s="13">
        <v>55</v>
      </c>
      <c r="B58" s="14" t="s">
        <v>167</v>
      </c>
      <c r="C58" s="15" t="s">
        <v>14</v>
      </c>
      <c r="D58" s="16" t="s">
        <v>15</v>
      </c>
      <c r="E58" s="21" t="s">
        <v>168</v>
      </c>
      <c r="F58" s="15" t="s">
        <v>29</v>
      </c>
      <c r="G58" s="13"/>
      <c r="H58" s="17" t="s">
        <v>169</v>
      </c>
      <c r="I58" s="19">
        <v>10100</v>
      </c>
      <c r="J58" s="20">
        <v>40205</v>
      </c>
      <c r="K58" s="20">
        <v>41639</v>
      </c>
      <c r="L58" s="19">
        <v>3300</v>
      </c>
    </row>
    <row r="59" spans="1:12" s="11" customFormat="1" ht="42.75" customHeight="1">
      <c r="A59" s="13">
        <v>56</v>
      </c>
      <c r="B59" s="14" t="s">
        <v>170</v>
      </c>
      <c r="C59" s="15" t="s">
        <v>14</v>
      </c>
      <c r="D59" s="16" t="s">
        <v>15</v>
      </c>
      <c r="E59" s="21" t="s">
        <v>171</v>
      </c>
      <c r="F59" s="15" t="s">
        <v>29</v>
      </c>
      <c r="G59" s="13"/>
      <c r="H59" s="17" t="s">
        <v>172</v>
      </c>
      <c r="I59" s="19">
        <v>2000</v>
      </c>
      <c r="J59" s="20">
        <v>41262</v>
      </c>
      <c r="K59" s="20">
        <v>41639</v>
      </c>
      <c r="L59" s="19">
        <v>2000</v>
      </c>
    </row>
    <row r="60" spans="1:12" s="11" customFormat="1" ht="42.75" customHeight="1">
      <c r="A60" s="13">
        <v>57</v>
      </c>
      <c r="B60" s="14" t="s">
        <v>173</v>
      </c>
      <c r="C60" s="15" t="s">
        <v>14</v>
      </c>
      <c r="D60" s="16" t="s">
        <v>15</v>
      </c>
      <c r="E60" s="21" t="s">
        <v>174</v>
      </c>
      <c r="F60" s="15" t="s">
        <v>29</v>
      </c>
      <c r="G60" s="13"/>
      <c r="H60" s="17" t="s">
        <v>175</v>
      </c>
      <c r="I60" s="19">
        <v>33000</v>
      </c>
      <c r="J60" s="34">
        <v>41000</v>
      </c>
      <c r="K60" s="20">
        <v>41364</v>
      </c>
      <c r="L60" s="19">
        <f>24389.11+5635.85</f>
        <v>30024.96</v>
      </c>
    </row>
    <row r="61" spans="1:12" s="11" customFormat="1" ht="42.75" customHeight="1">
      <c r="A61" s="13">
        <v>58</v>
      </c>
      <c r="B61" s="14" t="s">
        <v>176</v>
      </c>
      <c r="C61" s="15" t="s">
        <v>14</v>
      </c>
      <c r="D61" s="16" t="s">
        <v>15</v>
      </c>
      <c r="E61" s="21" t="s">
        <v>177</v>
      </c>
      <c r="F61" s="15" t="s">
        <v>29</v>
      </c>
      <c r="G61" s="13"/>
      <c r="H61" s="17" t="s">
        <v>175</v>
      </c>
      <c r="I61" s="19">
        <v>6000</v>
      </c>
      <c r="J61" s="20">
        <v>41000</v>
      </c>
      <c r="K61" s="20">
        <v>41364</v>
      </c>
      <c r="L61" s="19">
        <f>4201.03+791.73</f>
        <v>4992.76</v>
      </c>
    </row>
    <row r="62" spans="1:12" s="11" customFormat="1" ht="42.75" customHeight="1">
      <c r="A62" s="13">
        <v>59</v>
      </c>
      <c r="B62" s="14" t="s">
        <v>178</v>
      </c>
      <c r="C62" s="15" t="s">
        <v>14</v>
      </c>
      <c r="D62" s="16" t="s">
        <v>15</v>
      </c>
      <c r="E62" s="21" t="s">
        <v>179</v>
      </c>
      <c r="F62" s="15" t="s">
        <v>29</v>
      </c>
      <c r="G62" s="13"/>
      <c r="H62" s="17" t="s">
        <v>175</v>
      </c>
      <c r="I62" s="19">
        <v>900</v>
      </c>
      <c r="J62" s="20">
        <v>41000</v>
      </c>
      <c r="K62" s="20">
        <v>41364</v>
      </c>
      <c r="L62" s="19">
        <f>547.22+24.27</f>
        <v>571.49</v>
      </c>
    </row>
    <row r="63" spans="1:13" s="11" customFormat="1" ht="42.75" customHeight="1">
      <c r="A63" s="13">
        <v>60</v>
      </c>
      <c r="B63" s="14">
        <v>0</v>
      </c>
      <c r="C63" s="15" t="s">
        <v>14</v>
      </c>
      <c r="D63" s="16" t="s">
        <v>15</v>
      </c>
      <c r="E63" s="21" t="s">
        <v>180</v>
      </c>
      <c r="F63" s="15" t="s">
        <v>29</v>
      </c>
      <c r="G63" s="13"/>
      <c r="H63" s="17" t="s">
        <v>175</v>
      </c>
      <c r="I63" s="19">
        <v>0</v>
      </c>
      <c r="J63" s="20" t="s">
        <v>39</v>
      </c>
      <c r="K63" s="20" t="s">
        <v>39</v>
      </c>
      <c r="L63" s="19">
        <f>817.46+514.62+125.42+130.01+387.72+420.82+138.5+139.29+378.76+329.21+137.89+256.99+120.58+157.11+2880.85</f>
        <v>6935.2300000000005</v>
      </c>
      <c r="M63" s="53"/>
    </row>
    <row r="64" spans="1:12" s="11" customFormat="1" ht="42.75" customHeight="1">
      <c r="A64" s="13">
        <v>61</v>
      </c>
      <c r="B64" s="14" t="s">
        <v>181</v>
      </c>
      <c r="C64" s="15" t="s">
        <v>14</v>
      </c>
      <c r="D64" s="16" t="s">
        <v>15</v>
      </c>
      <c r="E64" s="21" t="s">
        <v>182</v>
      </c>
      <c r="F64" s="15" t="s">
        <v>29</v>
      </c>
      <c r="G64" s="13"/>
      <c r="H64" s="17" t="s">
        <v>175</v>
      </c>
      <c r="I64" s="19">
        <v>39999</v>
      </c>
      <c r="J64" s="34">
        <v>41000</v>
      </c>
      <c r="K64" s="20">
        <v>41364</v>
      </c>
      <c r="L64" s="19">
        <f>14126.2+3305.95</f>
        <v>17432.15</v>
      </c>
    </row>
    <row r="65" spans="1:12" s="11" customFormat="1" ht="42.75" customHeight="1">
      <c r="A65" s="13">
        <v>62</v>
      </c>
      <c r="B65" s="14" t="s">
        <v>183</v>
      </c>
      <c r="C65" s="15" t="s">
        <v>14</v>
      </c>
      <c r="D65" s="16" t="s">
        <v>15</v>
      </c>
      <c r="E65" s="21" t="s">
        <v>184</v>
      </c>
      <c r="F65" s="15" t="s">
        <v>29</v>
      </c>
      <c r="G65" s="13"/>
      <c r="H65" s="17" t="s">
        <v>175</v>
      </c>
      <c r="I65" s="19">
        <v>500</v>
      </c>
      <c r="J65" s="20">
        <v>41000</v>
      </c>
      <c r="K65" s="20">
        <v>41364</v>
      </c>
      <c r="L65" s="19">
        <f>141.73+36.39</f>
        <v>178.12</v>
      </c>
    </row>
    <row r="66" spans="1:12" s="11" customFormat="1" ht="42.75" customHeight="1">
      <c r="A66" s="13">
        <v>63</v>
      </c>
      <c r="B66" s="14" t="s">
        <v>185</v>
      </c>
      <c r="C66" s="15" t="s">
        <v>14</v>
      </c>
      <c r="D66" s="16" t="s">
        <v>15</v>
      </c>
      <c r="E66" s="21" t="s">
        <v>186</v>
      </c>
      <c r="F66" s="15" t="s">
        <v>29</v>
      </c>
      <c r="G66" s="13"/>
      <c r="H66" s="17" t="s">
        <v>175</v>
      </c>
      <c r="I66" s="19">
        <v>1900</v>
      </c>
      <c r="J66" s="20">
        <v>41000</v>
      </c>
      <c r="K66" s="20">
        <v>41364</v>
      </c>
      <c r="L66" s="19">
        <f>741.05+197.09</f>
        <v>938.14</v>
      </c>
    </row>
    <row r="67" spans="1:12" s="11" customFormat="1" ht="42.75" customHeight="1">
      <c r="A67" s="13">
        <v>64</v>
      </c>
      <c r="B67" s="14" t="s">
        <v>187</v>
      </c>
      <c r="C67" s="15" t="s">
        <v>14</v>
      </c>
      <c r="D67" s="16" t="s">
        <v>15</v>
      </c>
      <c r="E67" s="21" t="s">
        <v>188</v>
      </c>
      <c r="F67" s="15" t="s">
        <v>29</v>
      </c>
      <c r="G67" s="13"/>
      <c r="H67" s="17" t="s">
        <v>175</v>
      </c>
      <c r="I67" s="19">
        <v>1300</v>
      </c>
      <c r="J67" s="20">
        <v>41000</v>
      </c>
      <c r="K67" s="20">
        <v>41364</v>
      </c>
      <c r="L67" s="19">
        <f>368.55+94.09</f>
        <v>462.64</v>
      </c>
    </row>
    <row r="68" spans="1:12" s="11" customFormat="1" ht="42.75" customHeight="1">
      <c r="A68" s="13">
        <v>65</v>
      </c>
      <c r="B68" s="14" t="s">
        <v>189</v>
      </c>
      <c r="C68" s="15" t="s">
        <v>14</v>
      </c>
      <c r="D68" s="16" t="s">
        <v>15</v>
      </c>
      <c r="E68" s="21" t="s">
        <v>190</v>
      </c>
      <c r="F68" s="15" t="s">
        <v>29</v>
      </c>
      <c r="G68" s="13"/>
      <c r="H68" s="17" t="s">
        <v>175</v>
      </c>
      <c r="I68" s="19">
        <v>1800</v>
      </c>
      <c r="J68" s="20">
        <v>41000</v>
      </c>
      <c r="K68" s="20">
        <v>41364</v>
      </c>
      <c r="L68" s="19">
        <f>796.08+190.96</f>
        <v>987.0400000000001</v>
      </c>
    </row>
    <row r="69" spans="1:13" s="11" customFormat="1" ht="42.75" customHeight="1">
      <c r="A69" s="13">
        <v>66</v>
      </c>
      <c r="B69" s="35" t="s">
        <v>191</v>
      </c>
      <c r="C69" s="15" t="s">
        <v>14</v>
      </c>
      <c r="D69" s="16" t="s">
        <v>15</v>
      </c>
      <c r="E69" s="33" t="s">
        <v>192</v>
      </c>
      <c r="F69" s="15" t="s">
        <v>57</v>
      </c>
      <c r="G69" s="36"/>
      <c r="H69" s="37" t="s">
        <v>193</v>
      </c>
      <c r="I69" s="38">
        <v>23500</v>
      </c>
      <c r="J69" s="20">
        <v>41365</v>
      </c>
      <c r="K69" s="39">
        <v>41729</v>
      </c>
      <c r="L69" s="19">
        <f>2189.77-989.8+6.97+2.67+10.6+1155.93+3096.75+2056.02+5975.16+4961.12+3623.75+2500.46+39.95</f>
        <v>24629.35</v>
      </c>
      <c r="M69" s="53"/>
    </row>
    <row r="70" spans="1:12" s="11" customFormat="1" ht="42.75" customHeight="1">
      <c r="A70" s="13">
        <v>67</v>
      </c>
      <c r="B70" s="35" t="s">
        <v>194</v>
      </c>
      <c r="C70" s="15" t="s">
        <v>14</v>
      </c>
      <c r="D70" s="16" t="s">
        <v>15</v>
      </c>
      <c r="E70" s="33" t="s">
        <v>195</v>
      </c>
      <c r="F70" s="15" t="s">
        <v>57</v>
      </c>
      <c r="G70" s="36"/>
      <c r="H70" s="37" t="s">
        <v>193</v>
      </c>
      <c r="I70" s="38">
        <v>4200</v>
      </c>
      <c r="J70" s="20">
        <v>41365</v>
      </c>
      <c r="K70" s="39">
        <v>41729</v>
      </c>
      <c r="L70" s="19">
        <f>204.57+0.43+138.17+361.68+774.07+716.64+601.61+523.7+43.69</f>
        <v>3364.56</v>
      </c>
    </row>
    <row r="71" spans="1:12" s="11" customFormat="1" ht="42.75" customHeight="1">
      <c r="A71" s="13">
        <v>68</v>
      </c>
      <c r="B71" s="35" t="s">
        <v>196</v>
      </c>
      <c r="C71" s="15" t="s">
        <v>14</v>
      </c>
      <c r="D71" s="16" t="s">
        <v>15</v>
      </c>
      <c r="E71" s="33" t="s">
        <v>197</v>
      </c>
      <c r="F71" s="15" t="s">
        <v>57</v>
      </c>
      <c r="G71" s="36"/>
      <c r="H71" s="37" t="s">
        <v>193</v>
      </c>
      <c r="I71" s="38">
        <v>510</v>
      </c>
      <c r="J71" s="20">
        <v>41365</v>
      </c>
      <c r="K71" s="39">
        <v>41729</v>
      </c>
      <c r="L71" s="19">
        <f>54.11+12.16+21.98+2.67+36.43+66.46+94.51+101.94+113.5+111.18+28.55</f>
        <v>643.49</v>
      </c>
    </row>
    <row r="72" spans="1:12" s="11" customFormat="1" ht="42.75" customHeight="1">
      <c r="A72" s="13">
        <v>69</v>
      </c>
      <c r="B72" s="35" t="s">
        <v>198</v>
      </c>
      <c r="C72" s="15" t="s">
        <v>14</v>
      </c>
      <c r="D72" s="16" t="s">
        <v>15</v>
      </c>
      <c r="E72" s="33" t="s">
        <v>199</v>
      </c>
      <c r="F72" s="15" t="s">
        <v>57</v>
      </c>
      <c r="G72" s="36"/>
      <c r="H72" s="37" t="s">
        <v>200</v>
      </c>
      <c r="I72" s="38">
        <v>33500</v>
      </c>
      <c r="J72" s="20">
        <v>41365</v>
      </c>
      <c r="K72" s="39">
        <v>41639</v>
      </c>
      <c r="L72" s="19">
        <f>2578.61+2217.74+3047.46+4654.12+4016.71-0.42+1963.84+3699.74+3554.14</f>
        <v>25731.940000000002</v>
      </c>
    </row>
    <row r="73" spans="1:12" s="11" customFormat="1" ht="42.75" customHeight="1">
      <c r="A73" s="13">
        <v>70</v>
      </c>
      <c r="B73" s="35" t="s">
        <v>201</v>
      </c>
      <c r="C73" s="15" t="s">
        <v>14</v>
      </c>
      <c r="D73" s="16" t="s">
        <v>15</v>
      </c>
      <c r="E73" s="33" t="s">
        <v>202</v>
      </c>
      <c r="F73" s="15" t="s">
        <v>57</v>
      </c>
      <c r="G73" s="36"/>
      <c r="H73" s="37" t="s">
        <v>200</v>
      </c>
      <c r="I73" s="38">
        <v>1000</v>
      </c>
      <c r="J73" s="20">
        <v>41365</v>
      </c>
      <c r="K73" s="39">
        <v>41639</v>
      </c>
      <c r="L73" s="19">
        <f>119.32+87.31+102.25+94.6+85.83-0.01+85.45+99.91+127.6+177.08</f>
        <v>979.34</v>
      </c>
    </row>
    <row r="74" spans="1:12" s="11" customFormat="1" ht="42.75" customHeight="1">
      <c r="A74" s="13">
        <v>71</v>
      </c>
      <c r="B74" s="35" t="s">
        <v>203</v>
      </c>
      <c r="C74" s="15" t="s">
        <v>14</v>
      </c>
      <c r="D74" s="16" t="s">
        <v>15</v>
      </c>
      <c r="E74" s="33" t="s">
        <v>204</v>
      </c>
      <c r="F74" s="15" t="s">
        <v>57</v>
      </c>
      <c r="G74" s="36"/>
      <c r="H74" s="37" t="s">
        <v>200</v>
      </c>
      <c r="I74" s="38">
        <v>300</v>
      </c>
      <c r="J74" s="20">
        <v>41365</v>
      </c>
      <c r="K74" s="39">
        <v>41639</v>
      </c>
      <c r="L74" s="19">
        <f>37.44+40.37+37.29+38.06+38.94+38.74+43.65+44.58+39.76</f>
        <v>358.83</v>
      </c>
    </row>
    <row r="75" spans="1:12" s="11" customFormat="1" ht="42.75" customHeight="1">
      <c r="A75" s="13">
        <v>72</v>
      </c>
      <c r="B75" s="35" t="s">
        <v>205</v>
      </c>
      <c r="C75" s="15" t="s">
        <v>14</v>
      </c>
      <c r="D75" s="16" t="s">
        <v>15</v>
      </c>
      <c r="E75" s="33" t="s">
        <v>206</v>
      </c>
      <c r="F75" s="15" t="s">
        <v>57</v>
      </c>
      <c r="G75" s="36"/>
      <c r="H75" s="37" t="s">
        <v>200</v>
      </c>
      <c r="I75" s="38">
        <v>1000</v>
      </c>
      <c r="J75" s="20">
        <v>41365</v>
      </c>
      <c r="K75" s="39">
        <v>41639</v>
      </c>
      <c r="L75" s="19">
        <f>80.49+74.39+122.02+120.99+97.44+88.05-0.02+89.41+93.47+95.39</f>
        <v>861.63</v>
      </c>
    </row>
    <row r="76" spans="1:12" s="11" customFormat="1" ht="42.75" customHeight="1">
      <c r="A76" s="13">
        <v>73</v>
      </c>
      <c r="B76" s="35" t="s">
        <v>207</v>
      </c>
      <c r="C76" s="15" t="s">
        <v>14</v>
      </c>
      <c r="D76" s="16" t="s">
        <v>15</v>
      </c>
      <c r="E76" s="33" t="s">
        <v>208</v>
      </c>
      <c r="F76" s="15" t="s">
        <v>57</v>
      </c>
      <c r="G76" s="36"/>
      <c r="H76" s="37" t="s">
        <v>200</v>
      </c>
      <c r="I76" s="38">
        <v>1700</v>
      </c>
      <c r="J76" s="20">
        <v>41365</v>
      </c>
      <c r="K76" s="39">
        <v>41639</v>
      </c>
      <c r="L76" s="19">
        <f>113.81+82.32+81.58+89.83+68.12+74.62+105.52+172.64+198.81</f>
        <v>987.25</v>
      </c>
    </row>
    <row r="77" spans="1:12" s="11" customFormat="1" ht="42.75" customHeight="1">
      <c r="A77" s="13">
        <v>74</v>
      </c>
      <c r="B77" s="14" t="s">
        <v>209</v>
      </c>
      <c r="C77" s="15" t="s">
        <v>14</v>
      </c>
      <c r="D77" s="16" t="s">
        <v>15</v>
      </c>
      <c r="E77" s="21" t="s">
        <v>210</v>
      </c>
      <c r="F77" s="15" t="s">
        <v>57</v>
      </c>
      <c r="G77" s="13"/>
      <c r="H77" s="17" t="s">
        <v>211</v>
      </c>
      <c r="I77" s="19">
        <v>0</v>
      </c>
      <c r="J77" s="20" t="s">
        <v>39</v>
      </c>
      <c r="K77" s="20" t="s">
        <v>39</v>
      </c>
      <c r="L77" s="19">
        <f>942.15+203.3+201.32+200.35+477.73+201.65+201.65+201.65+201.65+56.38+68.42+61.9+89.8+1.63+67.2+68.88</f>
        <v>3245.6600000000008</v>
      </c>
    </row>
    <row r="78" spans="1:12" s="11" customFormat="1" ht="42.75" customHeight="1">
      <c r="A78" s="13">
        <v>75</v>
      </c>
      <c r="B78" s="14" t="s">
        <v>212</v>
      </c>
      <c r="C78" s="15" t="s">
        <v>14</v>
      </c>
      <c r="D78" s="16" t="s">
        <v>15</v>
      </c>
      <c r="E78" s="21" t="s">
        <v>213</v>
      </c>
      <c r="F78" s="15" t="s">
        <v>57</v>
      </c>
      <c r="G78" s="13"/>
      <c r="H78" s="17" t="s">
        <v>211</v>
      </c>
      <c r="I78" s="19">
        <f>(14728+684)*5+650</f>
        <v>77710</v>
      </c>
      <c r="J78" s="20">
        <v>39814</v>
      </c>
      <c r="K78" s="20">
        <v>41659</v>
      </c>
      <c r="L78" s="19">
        <f>5190.08+179.34+180.57+179.34+424.32+523.07+90.95+916.98+912.81+523.57+180.57+179.34+444.63+90.45+179.34+90.95+389.29+523.57+180.57+912.43+179.34+179.34+523.83+90.55+356.56+180.76+179.05+179.05+941.8+447.96+914.31+179.55+179.55+86.54+180.76+497.08+180.76+179.05+179.05+497.58+330.27+918.04+453.52+954.11+179.55+179.55+180.26+86.04+384.01+497.08</f>
        <v>22787.069999999996</v>
      </c>
    </row>
    <row r="79" spans="1:12" s="11" customFormat="1" ht="42.75" customHeight="1">
      <c r="A79" s="13">
        <v>76</v>
      </c>
      <c r="B79" s="14" t="s">
        <v>214</v>
      </c>
      <c r="C79" s="15" t="s">
        <v>14</v>
      </c>
      <c r="D79" s="16" t="s">
        <v>15</v>
      </c>
      <c r="E79" s="21" t="s">
        <v>215</v>
      </c>
      <c r="F79" s="15" t="s">
        <v>57</v>
      </c>
      <c r="G79" s="13"/>
      <c r="H79" s="17" t="s">
        <v>216</v>
      </c>
      <c r="I79" s="19">
        <f>(257.35+815.88)/16*34</f>
        <v>2280.61375</v>
      </c>
      <c r="J79" s="20">
        <v>40688</v>
      </c>
      <c r="K79" s="20">
        <v>41728</v>
      </c>
      <c r="L79" s="19">
        <f>451.02+264.48+262.21+234.06+223.48+356.23+211.51+86.04+6.6+306.75</f>
        <v>2402.38</v>
      </c>
    </row>
    <row r="80" spans="1:13" s="6" customFormat="1" ht="42.75" customHeight="1">
      <c r="A80" s="13">
        <v>77</v>
      </c>
      <c r="B80" s="14">
        <v>0</v>
      </c>
      <c r="C80" s="15" t="s">
        <v>14</v>
      </c>
      <c r="D80" s="16" t="s">
        <v>15</v>
      </c>
      <c r="E80" s="21" t="s">
        <v>221</v>
      </c>
      <c r="F80" s="15" t="s">
        <v>57</v>
      </c>
      <c r="G80" s="28"/>
      <c r="H80" s="26" t="s">
        <v>222</v>
      </c>
      <c r="I80" s="19">
        <v>0</v>
      </c>
      <c r="J80" s="20">
        <v>38985</v>
      </c>
      <c r="K80" s="20" t="s">
        <v>39</v>
      </c>
      <c r="L80" s="19">
        <f>99.17+54.55+327.27+54.55+54.55+54.55+344.26+324.06</f>
        <v>1312.9599999999998</v>
      </c>
      <c r="M80" s="53"/>
    </row>
    <row r="81" spans="1:12" s="6" customFormat="1" ht="42.75" customHeight="1">
      <c r="A81" s="13">
        <v>78</v>
      </c>
      <c r="B81" s="14" t="s">
        <v>223</v>
      </c>
      <c r="C81" s="15" t="s">
        <v>14</v>
      </c>
      <c r="D81" s="16" t="s">
        <v>15</v>
      </c>
      <c r="E81" s="41" t="s">
        <v>224</v>
      </c>
      <c r="F81" s="15" t="s">
        <v>29</v>
      </c>
      <c r="G81" s="28"/>
      <c r="H81" s="17" t="s">
        <v>225</v>
      </c>
      <c r="I81" s="19">
        <v>447</v>
      </c>
      <c r="J81" s="20">
        <v>41339</v>
      </c>
      <c r="K81" s="20">
        <v>41364</v>
      </c>
      <c r="L81" s="19">
        <v>447</v>
      </c>
    </row>
    <row r="82" spans="1:12" s="6" customFormat="1" ht="42.75" customHeight="1">
      <c r="A82" s="13">
        <v>79</v>
      </c>
      <c r="B82" s="14" t="s">
        <v>226</v>
      </c>
      <c r="C82" s="15" t="s">
        <v>14</v>
      </c>
      <c r="D82" s="16" t="s">
        <v>15</v>
      </c>
      <c r="E82" s="21" t="s">
        <v>227</v>
      </c>
      <c r="F82" s="15" t="s">
        <v>29</v>
      </c>
      <c r="G82" s="28"/>
      <c r="H82" s="17" t="s">
        <v>90</v>
      </c>
      <c r="I82" s="19">
        <v>285</v>
      </c>
      <c r="J82" s="20">
        <v>41302</v>
      </c>
      <c r="K82" s="20">
        <v>41639</v>
      </c>
      <c r="L82" s="19">
        <v>285</v>
      </c>
    </row>
    <row r="83" spans="1:12" s="6" customFormat="1" ht="42.75" customHeight="1">
      <c r="A83" s="13">
        <v>80</v>
      </c>
      <c r="B83" s="14" t="s">
        <v>228</v>
      </c>
      <c r="C83" s="15" t="s">
        <v>14</v>
      </c>
      <c r="D83" s="16" t="s">
        <v>15</v>
      </c>
      <c r="E83" s="21" t="s">
        <v>229</v>
      </c>
      <c r="F83" s="15" t="s">
        <v>29</v>
      </c>
      <c r="G83" s="28"/>
      <c r="H83" s="17" t="s">
        <v>230</v>
      </c>
      <c r="I83" s="19">
        <v>499</v>
      </c>
      <c r="J83" s="20">
        <v>41337</v>
      </c>
      <c r="K83" s="20">
        <v>41455</v>
      </c>
      <c r="L83" s="19">
        <v>499</v>
      </c>
    </row>
    <row r="84" spans="1:12" s="6" customFormat="1" ht="42.75" customHeight="1">
      <c r="A84" s="13">
        <v>81</v>
      </c>
      <c r="B84" s="14" t="s">
        <v>231</v>
      </c>
      <c r="C84" s="15" t="s">
        <v>14</v>
      </c>
      <c r="D84" s="16" t="s">
        <v>15</v>
      </c>
      <c r="E84" s="21" t="s">
        <v>232</v>
      </c>
      <c r="F84" s="15" t="s">
        <v>29</v>
      </c>
      <c r="G84" s="28"/>
      <c r="H84" s="17" t="s">
        <v>233</v>
      </c>
      <c r="I84" s="19">
        <v>2479.34</v>
      </c>
      <c r="J84" s="20">
        <v>41339</v>
      </c>
      <c r="K84" s="20">
        <v>41639</v>
      </c>
      <c r="L84" s="19">
        <f>513+296</f>
        <v>809</v>
      </c>
    </row>
    <row r="85" spans="1:13" s="6" customFormat="1" ht="42.75" customHeight="1">
      <c r="A85" s="13">
        <v>82</v>
      </c>
      <c r="B85" s="14" t="s">
        <v>234</v>
      </c>
      <c r="C85" s="15" t="s">
        <v>14</v>
      </c>
      <c r="D85" s="16" t="s">
        <v>15</v>
      </c>
      <c r="E85" s="21" t="s">
        <v>235</v>
      </c>
      <c r="F85" s="15" t="s">
        <v>29</v>
      </c>
      <c r="G85" s="28"/>
      <c r="H85" s="17" t="s">
        <v>236</v>
      </c>
      <c r="I85" s="19">
        <v>8990</v>
      </c>
      <c r="J85" s="20">
        <v>41351</v>
      </c>
      <c r="K85" s="20">
        <v>41639</v>
      </c>
      <c r="L85" s="19">
        <f>5285+2955+6824</f>
        <v>15064</v>
      </c>
      <c r="M85" s="71"/>
    </row>
    <row r="86" spans="1:12" s="6" customFormat="1" ht="42.75" customHeight="1">
      <c r="A86" s="13">
        <v>83</v>
      </c>
      <c r="B86" s="14" t="s">
        <v>237</v>
      </c>
      <c r="C86" s="15" t="s">
        <v>14</v>
      </c>
      <c r="D86" s="16" t="s">
        <v>15</v>
      </c>
      <c r="E86" s="21" t="s">
        <v>238</v>
      </c>
      <c r="F86" s="15" t="s">
        <v>29</v>
      </c>
      <c r="G86" s="28"/>
      <c r="H86" s="17" t="s">
        <v>239</v>
      </c>
      <c r="I86" s="19">
        <f>985+5800</f>
        <v>6785</v>
      </c>
      <c r="J86" s="20">
        <v>41352</v>
      </c>
      <c r="K86" s="20">
        <v>41356</v>
      </c>
      <c r="L86" s="19">
        <f>2349.46+4435.54</f>
        <v>6785</v>
      </c>
    </row>
    <row r="87" spans="1:12" s="6" customFormat="1" ht="42.75" customHeight="1">
      <c r="A87" s="13">
        <v>84</v>
      </c>
      <c r="B87" s="14" t="s">
        <v>240</v>
      </c>
      <c r="C87" s="15" t="s">
        <v>14</v>
      </c>
      <c r="D87" s="16" t="s">
        <v>15</v>
      </c>
      <c r="E87" s="21" t="s">
        <v>241</v>
      </c>
      <c r="F87" s="15" t="s">
        <v>29</v>
      </c>
      <c r="G87" s="28"/>
      <c r="H87" s="17" t="s">
        <v>242</v>
      </c>
      <c r="I87" s="19">
        <v>247.93</v>
      </c>
      <c r="J87" s="20" t="s">
        <v>39</v>
      </c>
      <c r="K87" s="20">
        <v>41351</v>
      </c>
      <c r="L87" s="19">
        <v>247.93</v>
      </c>
    </row>
    <row r="88" spans="1:12" s="6" customFormat="1" ht="42.75" customHeight="1">
      <c r="A88" s="13">
        <v>85</v>
      </c>
      <c r="B88" s="14" t="s">
        <v>243</v>
      </c>
      <c r="C88" s="15" t="s">
        <v>14</v>
      </c>
      <c r="D88" s="16" t="s">
        <v>15</v>
      </c>
      <c r="E88" s="21" t="s">
        <v>244</v>
      </c>
      <c r="F88" s="15" t="s">
        <v>245</v>
      </c>
      <c r="G88" s="28" t="s">
        <v>246</v>
      </c>
      <c r="H88" s="17" t="s">
        <v>247</v>
      </c>
      <c r="I88" s="19">
        <v>1247.21</v>
      </c>
      <c r="J88" s="20">
        <v>41333</v>
      </c>
      <c r="K88" s="20">
        <v>41473</v>
      </c>
      <c r="L88" s="19">
        <f>1247.21+92.56+198+54.93</f>
        <v>1592.7</v>
      </c>
    </row>
    <row r="89" spans="1:12" s="6" customFormat="1" ht="42.75" customHeight="1">
      <c r="A89" s="13">
        <v>86</v>
      </c>
      <c r="B89" s="14" t="s">
        <v>248</v>
      </c>
      <c r="C89" s="15" t="s">
        <v>14</v>
      </c>
      <c r="D89" s="16" t="s">
        <v>15</v>
      </c>
      <c r="E89" s="21" t="s">
        <v>249</v>
      </c>
      <c r="F89" s="15" t="s">
        <v>29</v>
      </c>
      <c r="G89" s="28"/>
      <c r="H89" s="17" t="s">
        <v>250</v>
      </c>
      <c r="I89" s="19">
        <v>18000</v>
      </c>
      <c r="J89" s="20">
        <v>41275</v>
      </c>
      <c r="K89" s="20">
        <v>41639</v>
      </c>
      <c r="L89" s="19">
        <v>18000</v>
      </c>
    </row>
    <row r="90" spans="1:12" s="6" customFormat="1" ht="42.75" customHeight="1">
      <c r="A90" s="13">
        <v>87</v>
      </c>
      <c r="B90" s="14" t="s">
        <v>251</v>
      </c>
      <c r="C90" s="15" t="s">
        <v>14</v>
      </c>
      <c r="D90" s="16" t="s">
        <v>15</v>
      </c>
      <c r="E90" s="21" t="s">
        <v>252</v>
      </c>
      <c r="F90" s="15" t="s">
        <v>29</v>
      </c>
      <c r="G90" s="28"/>
      <c r="H90" s="17" t="s">
        <v>253</v>
      </c>
      <c r="I90" s="19">
        <f>11485+700+1200+100</f>
        <v>13485</v>
      </c>
      <c r="J90" s="20">
        <v>41037</v>
      </c>
      <c r="K90" s="20">
        <v>41274</v>
      </c>
      <c r="L90" s="19">
        <v>6217.52</v>
      </c>
    </row>
    <row r="91" spans="1:12" s="6" customFormat="1" ht="42.75" customHeight="1">
      <c r="A91" s="13">
        <v>88</v>
      </c>
      <c r="B91" s="14" t="s">
        <v>254</v>
      </c>
      <c r="C91" s="15" t="s">
        <v>14</v>
      </c>
      <c r="D91" s="16" t="s">
        <v>15</v>
      </c>
      <c r="E91" s="21" t="s">
        <v>255</v>
      </c>
      <c r="F91" s="30" t="s">
        <v>57</v>
      </c>
      <c r="G91" s="28"/>
      <c r="H91" s="17" t="s">
        <v>256</v>
      </c>
      <c r="I91" s="19">
        <v>11220</v>
      </c>
      <c r="J91" s="20">
        <v>41156</v>
      </c>
      <c r="K91" s="20">
        <v>41191</v>
      </c>
      <c r="L91" s="19">
        <v>11220</v>
      </c>
    </row>
    <row r="92" spans="1:12" s="6" customFormat="1" ht="42.75" customHeight="1">
      <c r="A92" s="13">
        <v>89</v>
      </c>
      <c r="B92" s="14" t="s">
        <v>257</v>
      </c>
      <c r="C92" s="15" t="s">
        <v>14</v>
      </c>
      <c r="D92" s="16" t="s">
        <v>15</v>
      </c>
      <c r="E92" s="21" t="s">
        <v>258</v>
      </c>
      <c r="F92" s="15" t="s">
        <v>29</v>
      </c>
      <c r="G92" s="28"/>
      <c r="H92" s="17" t="s">
        <v>236</v>
      </c>
      <c r="I92" s="19">
        <v>1695</v>
      </c>
      <c r="J92" s="20">
        <v>40909</v>
      </c>
      <c r="K92" s="20">
        <v>41243</v>
      </c>
      <c r="L92" s="19">
        <v>1400.83</v>
      </c>
    </row>
    <row r="93" spans="1:12" s="6" customFormat="1" ht="42.75" customHeight="1">
      <c r="A93" s="13">
        <v>90</v>
      </c>
      <c r="B93" s="14" t="s">
        <v>259</v>
      </c>
      <c r="C93" s="15" t="s">
        <v>14</v>
      </c>
      <c r="D93" s="16" t="s">
        <v>15</v>
      </c>
      <c r="E93" s="21" t="s">
        <v>260</v>
      </c>
      <c r="F93" s="15" t="s">
        <v>29</v>
      </c>
      <c r="G93" s="28"/>
      <c r="H93" s="17" t="s">
        <v>261</v>
      </c>
      <c r="I93" s="19">
        <v>9100</v>
      </c>
      <c r="J93" s="20">
        <v>41327</v>
      </c>
      <c r="K93" s="20">
        <v>41356</v>
      </c>
      <c r="L93" s="19">
        <f>5915+3185</f>
        <v>9100</v>
      </c>
    </row>
    <row r="94" spans="1:12" s="6" customFormat="1" ht="42.75" customHeight="1">
      <c r="A94" s="13">
        <v>91</v>
      </c>
      <c r="B94" s="14" t="s">
        <v>262</v>
      </c>
      <c r="C94" s="15" t="s">
        <v>14</v>
      </c>
      <c r="D94" s="16" t="s">
        <v>15</v>
      </c>
      <c r="E94" s="21" t="s">
        <v>263</v>
      </c>
      <c r="F94" s="15" t="s">
        <v>29</v>
      </c>
      <c r="G94" s="28"/>
      <c r="H94" s="17" t="s">
        <v>264</v>
      </c>
      <c r="I94" s="19">
        <v>1832</v>
      </c>
      <c r="J94" s="20">
        <v>41220</v>
      </c>
      <c r="K94" s="20">
        <v>41222</v>
      </c>
      <c r="L94" s="19">
        <v>1652.89</v>
      </c>
    </row>
    <row r="95" spans="1:12" s="6" customFormat="1" ht="42.75" customHeight="1">
      <c r="A95" s="13">
        <v>92</v>
      </c>
      <c r="B95" s="14" t="s">
        <v>265</v>
      </c>
      <c r="C95" s="15" t="s">
        <v>14</v>
      </c>
      <c r="D95" s="16" t="s">
        <v>15</v>
      </c>
      <c r="E95" s="21" t="s">
        <v>266</v>
      </c>
      <c r="F95" s="15" t="s">
        <v>29</v>
      </c>
      <c r="G95" s="28"/>
      <c r="H95" s="17" t="s">
        <v>267</v>
      </c>
      <c r="I95" s="19">
        <v>1140</v>
      </c>
      <c r="J95" s="20">
        <v>41242</v>
      </c>
      <c r="K95" s="20">
        <v>41250</v>
      </c>
      <c r="L95" s="19">
        <v>1140</v>
      </c>
    </row>
    <row r="96" spans="1:12" s="6" customFormat="1" ht="42.75" customHeight="1">
      <c r="A96" s="13">
        <v>93</v>
      </c>
      <c r="B96" s="35" t="s">
        <v>268</v>
      </c>
      <c r="C96" s="15" t="s">
        <v>14</v>
      </c>
      <c r="D96" s="16" t="s">
        <v>15</v>
      </c>
      <c r="E96" s="33" t="s">
        <v>269</v>
      </c>
      <c r="F96" s="15" t="s">
        <v>29</v>
      </c>
      <c r="G96" s="42"/>
      <c r="H96" s="37" t="s">
        <v>270</v>
      </c>
      <c r="I96" s="19">
        <v>3300</v>
      </c>
      <c r="J96" s="20">
        <v>40544</v>
      </c>
      <c r="K96" s="32">
        <v>41639</v>
      </c>
      <c r="L96" s="19">
        <v>1083.84</v>
      </c>
    </row>
    <row r="97" spans="1:13" s="6" customFormat="1" ht="42.75" customHeight="1">
      <c r="A97" s="13">
        <v>94</v>
      </c>
      <c r="B97" s="35" t="s">
        <v>271</v>
      </c>
      <c r="C97" s="15" t="s">
        <v>14</v>
      </c>
      <c r="D97" s="16" t="s">
        <v>15</v>
      </c>
      <c r="E97" s="33" t="s">
        <v>272</v>
      </c>
      <c r="F97" s="15" t="s">
        <v>29</v>
      </c>
      <c r="G97" s="42"/>
      <c r="H97" s="26" t="s">
        <v>273</v>
      </c>
      <c r="I97" s="38">
        <v>0</v>
      </c>
      <c r="J97" s="39">
        <v>41355</v>
      </c>
      <c r="K97" s="32">
        <v>42369</v>
      </c>
      <c r="L97" s="19">
        <f>328.43+30.91+402.27+387.99+12.36+354.46+264.18+101.82+110+409.64+203.64+780.49+1632.96+1388.22</f>
        <v>6407.37</v>
      </c>
      <c r="M97" s="71"/>
    </row>
    <row r="98" spans="1:12" s="6" customFormat="1" ht="42.75" customHeight="1">
      <c r="A98" s="13">
        <v>95</v>
      </c>
      <c r="B98" s="14" t="s">
        <v>274</v>
      </c>
      <c r="C98" s="15" t="s">
        <v>14</v>
      </c>
      <c r="D98" s="16" t="s">
        <v>15</v>
      </c>
      <c r="E98" s="21" t="s">
        <v>266</v>
      </c>
      <c r="F98" s="15" t="s">
        <v>29</v>
      </c>
      <c r="G98" s="42"/>
      <c r="H98" s="17" t="s">
        <v>267</v>
      </c>
      <c r="I98" s="19">
        <v>1140</v>
      </c>
      <c r="J98" s="20">
        <v>41359</v>
      </c>
      <c r="K98" s="20">
        <v>41362</v>
      </c>
      <c r="L98" s="19">
        <v>1140</v>
      </c>
    </row>
    <row r="99" spans="1:12" s="6" customFormat="1" ht="42.75" customHeight="1">
      <c r="A99" s="13">
        <v>96</v>
      </c>
      <c r="B99" s="35" t="s">
        <v>275</v>
      </c>
      <c r="C99" s="15" t="s">
        <v>14</v>
      </c>
      <c r="D99" s="16" t="s">
        <v>15</v>
      </c>
      <c r="E99" s="33" t="s">
        <v>276</v>
      </c>
      <c r="F99" s="15" t="s">
        <v>29</v>
      </c>
      <c r="G99" s="42"/>
      <c r="H99" s="26" t="s">
        <v>277</v>
      </c>
      <c r="I99" s="31">
        <v>11100</v>
      </c>
      <c r="J99" s="32">
        <v>41351</v>
      </c>
      <c r="K99" s="32">
        <v>41639</v>
      </c>
      <c r="L99" s="19">
        <f>217.01+48.28+19.01+2+23.56+851.12+185.28+1026.6+543.68+236.34+1270.8+501.82+278.03+1109.03+2123.87+513.7+226.08+423.01+134.2+63.4+86.75+263.3+100.38+198.78+78.3+376.45+11.94+187.53+73.54+33.9+22.88+14.09+27.96+82.77</f>
        <v>11355.39</v>
      </c>
    </row>
    <row r="100" spans="1:13" s="6" customFormat="1" ht="42.75" customHeight="1">
      <c r="A100" s="13">
        <v>97</v>
      </c>
      <c r="B100" s="35" t="s">
        <v>278</v>
      </c>
      <c r="C100" s="15" t="s">
        <v>14</v>
      </c>
      <c r="D100" s="16" t="s">
        <v>15</v>
      </c>
      <c r="E100" s="33" t="s">
        <v>279</v>
      </c>
      <c r="F100" s="15" t="s">
        <v>29</v>
      </c>
      <c r="G100" s="42"/>
      <c r="H100" s="26" t="s">
        <v>280</v>
      </c>
      <c r="I100" s="31">
        <v>20100</v>
      </c>
      <c r="J100" s="32">
        <v>41368</v>
      </c>
      <c r="K100" s="32">
        <v>43100</v>
      </c>
      <c r="L100" s="19">
        <f>1900+1900+4161.51+2604.13+1588.52</f>
        <v>12154.16</v>
      </c>
      <c r="M100" s="71"/>
    </row>
    <row r="101" spans="1:12" s="6" customFormat="1" ht="42.75" customHeight="1">
      <c r="A101" s="13">
        <v>98</v>
      </c>
      <c r="B101" s="35" t="s">
        <v>281</v>
      </c>
      <c r="C101" s="15" t="s">
        <v>14</v>
      </c>
      <c r="D101" s="16" t="s">
        <v>15</v>
      </c>
      <c r="E101" s="33" t="s">
        <v>282</v>
      </c>
      <c r="F101" s="15" t="s">
        <v>29</v>
      </c>
      <c r="G101" s="42"/>
      <c r="H101" s="26" t="s">
        <v>283</v>
      </c>
      <c r="I101" s="31">
        <f>22055.88/1.21</f>
        <v>18228</v>
      </c>
      <c r="J101" s="32">
        <v>41381</v>
      </c>
      <c r="K101" s="32">
        <v>41414</v>
      </c>
      <c r="L101" s="19">
        <v>17779.5</v>
      </c>
    </row>
    <row r="102" spans="1:12" s="6" customFormat="1" ht="42.75" customHeight="1">
      <c r="A102" s="13">
        <v>99</v>
      </c>
      <c r="B102" s="35" t="s">
        <v>284</v>
      </c>
      <c r="C102" s="15" t="s">
        <v>14</v>
      </c>
      <c r="D102" s="16" t="s">
        <v>15</v>
      </c>
      <c r="E102" s="33" t="s">
        <v>285</v>
      </c>
      <c r="F102" s="15" t="s">
        <v>29</v>
      </c>
      <c r="G102" s="42"/>
      <c r="H102" s="26" t="s">
        <v>286</v>
      </c>
      <c r="I102" s="31">
        <v>2700</v>
      </c>
      <c r="J102" s="32">
        <v>41381</v>
      </c>
      <c r="K102" s="32">
        <v>41403</v>
      </c>
      <c r="L102" s="19">
        <v>2700</v>
      </c>
    </row>
    <row r="103" spans="1:12" s="6" customFormat="1" ht="42.75" customHeight="1">
      <c r="A103" s="13">
        <v>100</v>
      </c>
      <c r="B103" s="35" t="s">
        <v>287</v>
      </c>
      <c r="C103" s="15" t="s">
        <v>14</v>
      </c>
      <c r="D103" s="16" t="s">
        <v>15</v>
      </c>
      <c r="E103" s="33" t="s">
        <v>288</v>
      </c>
      <c r="F103" s="15" t="s">
        <v>29</v>
      </c>
      <c r="G103" s="42"/>
      <c r="H103" s="26" t="s">
        <v>289</v>
      </c>
      <c r="I103" s="31">
        <v>244</v>
      </c>
      <c r="J103" s="32">
        <v>41368</v>
      </c>
      <c r="K103" s="32">
        <v>41389</v>
      </c>
      <c r="L103" s="19">
        <v>244</v>
      </c>
    </row>
    <row r="104" spans="1:12" s="6" customFormat="1" ht="42.75" customHeight="1">
      <c r="A104" s="13">
        <v>101</v>
      </c>
      <c r="B104" s="35" t="s">
        <v>290</v>
      </c>
      <c r="C104" s="15" t="s">
        <v>14</v>
      </c>
      <c r="D104" s="16" t="s">
        <v>15</v>
      </c>
      <c r="E104" s="33" t="s">
        <v>291</v>
      </c>
      <c r="F104" s="15" t="s">
        <v>29</v>
      </c>
      <c r="G104" s="42"/>
      <c r="H104" s="26" t="s">
        <v>292</v>
      </c>
      <c r="I104" s="31">
        <v>8850</v>
      </c>
      <c r="J104" s="32">
        <v>41379</v>
      </c>
      <c r="K104" s="32">
        <v>41455</v>
      </c>
      <c r="L104" s="19">
        <v>8850</v>
      </c>
    </row>
    <row r="105" spans="1:12" s="6" customFormat="1" ht="42.75" customHeight="1">
      <c r="A105" s="13">
        <v>102</v>
      </c>
      <c r="B105" s="35" t="s">
        <v>293</v>
      </c>
      <c r="C105" s="15" t="s">
        <v>14</v>
      </c>
      <c r="D105" s="16" t="s">
        <v>15</v>
      </c>
      <c r="E105" s="33" t="s">
        <v>294</v>
      </c>
      <c r="F105" s="15" t="s">
        <v>29</v>
      </c>
      <c r="G105" s="42"/>
      <c r="H105" s="26" t="s">
        <v>295</v>
      </c>
      <c r="I105" s="31">
        <v>700</v>
      </c>
      <c r="J105" s="32">
        <v>41394</v>
      </c>
      <c r="K105" s="32">
        <v>41404</v>
      </c>
      <c r="L105" s="19">
        <f>694.26+450</f>
        <v>1144.26</v>
      </c>
    </row>
    <row r="106" spans="1:12" s="6" customFormat="1" ht="42.75" customHeight="1">
      <c r="A106" s="13">
        <v>103</v>
      </c>
      <c r="B106" s="35" t="s">
        <v>296</v>
      </c>
      <c r="C106" s="15" t="s">
        <v>14</v>
      </c>
      <c r="D106" s="16" t="s">
        <v>15</v>
      </c>
      <c r="E106" s="33" t="s">
        <v>297</v>
      </c>
      <c r="F106" s="15" t="s">
        <v>29</v>
      </c>
      <c r="G106" s="42"/>
      <c r="H106" s="26" t="s">
        <v>253</v>
      </c>
      <c r="I106" s="31">
        <v>300</v>
      </c>
      <c r="J106" s="32">
        <v>41403</v>
      </c>
      <c r="K106" s="32">
        <v>41409</v>
      </c>
      <c r="L106" s="19">
        <v>300</v>
      </c>
    </row>
    <row r="107" spans="1:12" s="6" customFormat="1" ht="42.75" customHeight="1">
      <c r="A107" s="13">
        <v>104</v>
      </c>
      <c r="B107" s="35" t="s">
        <v>298</v>
      </c>
      <c r="C107" s="15" t="s">
        <v>14</v>
      </c>
      <c r="D107" s="16" t="s">
        <v>15</v>
      </c>
      <c r="E107" s="33" t="s">
        <v>299</v>
      </c>
      <c r="F107" s="15" t="s">
        <v>29</v>
      </c>
      <c r="G107" s="42"/>
      <c r="H107" s="26" t="s">
        <v>71</v>
      </c>
      <c r="I107" s="31">
        <f>21901/1.21</f>
        <v>18100</v>
      </c>
      <c r="J107" s="32">
        <v>41409</v>
      </c>
      <c r="K107" s="32">
        <v>41440</v>
      </c>
      <c r="L107" s="19">
        <v>18100</v>
      </c>
    </row>
    <row r="108" spans="1:12" s="6" customFormat="1" ht="42.75" customHeight="1">
      <c r="A108" s="13">
        <v>105</v>
      </c>
      <c r="B108" s="35" t="s">
        <v>300</v>
      </c>
      <c r="C108" s="15" t="s">
        <v>14</v>
      </c>
      <c r="D108" s="16" t="s">
        <v>15</v>
      </c>
      <c r="E108" s="33" t="s">
        <v>301</v>
      </c>
      <c r="F108" s="15" t="s">
        <v>29</v>
      </c>
      <c r="G108" s="42"/>
      <c r="H108" s="26" t="s">
        <v>253</v>
      </c>
      <c r="I108" s="31">
        <v>2300</v>
      </c>
      <c r="J108" s="32">
        <v>41415</v>
      </c>
      <c r="K108" s="32">
        <v>41789</v>
      </c>
      <c r="L108" s="19">
        <f>382.74+168.16+168.16+162.74+168.16+162.74+168.16+168.16+151.89+162.74+168.16+168.16</f>
        <v>2199.9700000000003</v>
      </c>
    </row>
    <row r="109" spans="1:12" s="6" customFormat="1" ht="42.75" customHeight="1">
      <c r="A109" s="13">
        <v>106</v>
      </c>
      <c r="B109" s="35" t="s">
        <v>302</v>
      </c>
      <c r="C109" s="15" t="s">
        <v>14</v>
      </c>
      <c r="D109" s="16" t="s">
        <v>15</v>
      </c>
      <c r="E109" s="33" t="s">
        <v>303</v>
      </c>
      <c r="F109" s="15" t="s">
        <v>29</v>
      </c>
      <c r="G109" s="42"/>
      <c r="H109" s="26" t="s">
        <v>304</v>
      </c>
      <c r="I109" s="31">
        <v>2080</v>
      </c>
      <c r="J109" s="32">
        <v>41416</v>
      </c>
      <c r="K109" s="32">
        <v>41639</v>
      </c>
      <c r="L109" s="19">
        <v>2080</v>
      </c>
    </row>
    <row r="110" spans="1:12" s="6" customFormat="1" ht="42.75" customHeight="1">
      <c r="A110" s="13">
        <v>107</v>
      </c>
      <c r="B110" s="35" t="s">
        <v>305</v>
      </c>
      <c r="C110" s="15" t="s">
        <v>14</v>
      </c>
      <c r="D110" s="16" t="s">
        <v>15</v>
      </c>
      <c r="E110" s="33" t="s">
        <v>306</v>
      </c>
      <c r="F110" s="15" t="s">
        <v>29</v>
      </c>
      <c r="G110" s="42"/>
      <c r="H110" s="26" t="s">
        <v>307</v>
      </c>
      <c r="I110" s="31">
        <v>400</v>
      </c>
      <c r="J110" s="32">
        <v>41429</v>
      </c>
      <c r="K110" s="32">
        <v>41455</v>
      </c>
      <c r="L110" s="19">
        <v>400</v>
      </c>
    </row>
    <row r="111" spans="1:12" s="6" customFormat="1" ht="42.75" customHeight="1">
      <c r="A111" s="13">
        <v>108</v>
      </c>
      <c r="B111" s="35" t="s">
        <v>308</v>
      </c>
      <c r="C111" s="15" t="s">
        <v>14</v>
      </c>
      <c r="D111" s="16" t="s">
        <v>15</v>
      </c>
      <c r="E111" s="33" t="s">
        <v>309</v>
      </c>
      <c r="F111" s="15" t="s">
        <v>29</v>
      </c>
      <c r="G111" s="42"/>
      <c r="H111" s="26" t="s">
        <v>310</v>
      </c>
      <c r="I111" s="31">
        <v>12396.7</v>
      </c>
      <c r="J111" s="32">
        <v>41432</v>
      </c>
      <c r="K111" s="32">
        <v>41455</v>
      </c>
      <c r="L111" s="19">
        <v>12396.7</v>
      </c>
    </row>
    <row r="112" spans="1:12" s="6" customFormat="1" ht="42.75" customHeight="1">
      <c r="A112" s="13">
        <v>109</v>
      </c>
      <c r="B112" s="35" t="s">
        <v>311</v>
      </c>
      <c r="C112" s="15" t="s">
        <v>14</v>
      </c>
      <c r="D112" s="16" t="s">
        <v>15</v>
      </c>
      <c r="E112" s="33" t="s">
        <v>312</v>
      </c>
      <c r="F112" s="15" t="s">
        <v>29</v>
      </c>
      <c r="G112" s="42"/>
      <c r="H112" s="26" t="s">
        <v>79</v>
      </c>
      <c r="I112" s="31">
        <v>1600</v>
      </c>
      <c r="J112" s="32">
        <v>41442</v>
      </c>
      <c r="K112" s="32">
        <v>41455</v>
      </c>
      <c r="L112" s="19">
        <v>1600</v>
      </c>
    </row>
    <row r="113" spans="1:12" s="6" customFormat="1" ht="42.75" customHeight="1">
      <c r="A113" s="13">
        <v>110</v>
      </c>
      <c r="B113" s="35" t="s">
        <v>313</v>
      </c>
      <c r="C113" s="15" t="s">
        <v>14</v>
      </c>
      <c r="D113" s="16" t="s">
        <v>15</v>
      </c>
      <c r="E113" s="33" t="s">
        <v>314</v>
      </c>
      <c r="F113" s="15" t="s">
        <v>29</v>
      </c>
      <c r="G113" s="42"/>
      <c r="H113" s="26" t="s">
        <v>99</v>
      </c>
      <c r="I113" s="31">
        <v>585</v>
      </c>
      <c r="J113" s="32">
        <v>41518</v>
      </c>
      <c r="K113" s="32">
        <v>41882</v>
      </c>
      <c r="L113" s="19">
        <v>585</v>
      </c>
    </row>
    <row r="114" spans="1:13" s="6" customFormat="1" ht="42.75" customHeight="1">
      <c r="A114" s="13">
        <v>111</v>
      </c>
      <c r="B114" s="35" t="s">
        <v>315</v>
      </c>
      <c r="C114" s="15" t="s">
        <v>14</v>
      </c>
      <c r="D114" s="16" t="s">
        <v>15</v>
      </c>
      <c r="E114" s="33" t="s">
        <v>316</v>
      </c>
      <c r="F114" s="15" t="s">
        <v>29</v>
      </c>
      <c r="G114" s="42"/>
      <c r="H114" s="26" t="s">
        <v>99</v>
      </c>
      <c r="I114" s="31">
        <v>1050</v>
      </c>
      <c r="J114" s="32">
        <v>41518</v>
      </c>
      <c r="K114" s="32">
        <v>41882</v>
      </c>
      <c r="L114" s="19">
        <f>88.2+96.6+84+79.8+88.2+84+88.2+84+15.08+68.85+15.15+68.85+126</f>
        <v>986.9300000000001</v>
      </c>
      <c r="M114" s="53"/>
    </row>
    <row r="115" spans="1:12" s="6" customFormat="1" ht="42.75" customHeight="1">
      <c r="A115" s="13">
        <v>112</v>
      </c>
      <c r="B115" s="35" t="s">
        <v>317</v>
      </c>
      <c r="C115" s="15" t="s">
        <v>14</v>
      </c>
      <c r="D115" s="16" t="s">
        <v>15</v>
      </c>
      <c r="E115" s="33" t="s">
        <v>318</v>
      </c>
      <c r="F115" s="15" t="s">
        <v>29</v>
      </c>
      <c r="G115" s="42"/>
      <c r="H115" s="26" t="s">
        <v>319</v>
      </c>
      <c r="I115" s="31">
        <v>2994.75</v>
      </c>
      <c r="J115" s="32">
        <v>41473</v>
      </c>
      <c r="K115" s="32">
        <v>41480</v>
      </c>
      <c r="L115" s="19">
        <v>2994.75</v>
      </c>
    </row>
    <row r="116" spans="1:13" s="6" customFormat="1" ht="42.75" customHeight="1">
      <c r="A116" s="13">
        <v>113</v>
      </c>
      <c r="B116" s="35" t="s">
        <v>320</v>
      </c>
      <c r="C116" s="15" t="s">
        <v>14</v>
      </c>
      <c r="D116" s="16" t="s">
        <v>15</v>
      </c>
      <c r="E116" s="33" t="s">
        <v>321</v>
      </c>
      <c r="F116" s="15" t="s">
        <v>29</v>
      </c>
      <c r="G116" s="42"/>
      <c r="H116" s="26" t="s">
        <v>322</v>
      </c>
      <c r="I116" s="31">
        <v>2856</v>
      </c>
      <c r="J116" s="32">
        <v>41548</v>
      </c>
      <c r="K116" s="32">
        <v>43008</v>
      </c>
      <c r="L116" s="19">
        <f>714+714+700+1400</f>
        <v>3528</v>
      </c>
      <c r="M116" s="71"/>
    </row>
    <row r="117" spans="1:13" s="6" customFormat="1" ht="42.75" customHeight="1">
      <c r="A117" s="13">
        <v>114</v>
      </c>
      <c r="B117" s="35" t="s">
        <v>323</v>
      </c>
      <c r="C117" s="15" t="s">
        <v>14</v>
      </c>
      <c r="D117" s="16" t="s">
        <v>15</v>
      </c>
      <c r="E117" s="33" t="s">
        <v>324</v>
      </c>
      <c r="F117" s="15" t="s">
        <v>29</v>
      </c>
      <c r="G117" s="42"/>
      <c r="H117" s="26" t="s">
        <v>90</v>
      </c>
      <c r="I117" s="31">
        <v>764</v>
      </c>
      <c r="J117" s="32">
        <v>41498</v>
      </c>
      <c r="K117" s="32">
        <v>41547</v>
      </c>
      <c r="L117" s="19">
        <f>764+57.6</f>
        <v>821.6</v>
      </c>
      <c r="M117" s="71"/>
    </row>
    <row r="118" spans="1:12" s="6" customFormat="1" ht="42.75" customHeight="1">
      <c r="A118" s="13">
        <v>115</v>
      </c>
      <c r="B118" s="14" t="s">
        <v>325</v>
      </c>
      <c r="C118" s="15" t="s">
        <v>14</v>
      </c>
      <c r="D118" s="16" t="s">
        <v>15</v>
      </c>
      <c r="E118" s="21" t="s">
        <v>326</v>
      </c>
      <c r="F118" s="15" t="s">
        <v>29</v>
      </c>
      <c r="G118" s="13"/>
      <c r="H118" s="17" t="s">
        <v>142</v>
      </c>
      <c r="I118" s="31">
        <v>2224</v>
      </c>
      <c r="J118" s="20">
        <v>41396</v>
      </c>
      <c r="K118" s="32">
        <v>41411</v>
      </c>
      <c r="L118" s="19">
        <v>2224</v>
      </c>
    </row>
    <row r="119" spans="1:12" s="6" customFormat="1" ht="42.75" customHeight="1">
      <c r="A119" s="13">
        <v>116</v>
      </c>
      <c r="B119" s="14" t="s">
        <v>327</v>
      </c>
      <c r="C119" s="15" t="s">
        <v>14</v>
      </c>
      <c r="D119" s="16" t="s">
        <v>15</v>
      </c>
      <c r="E119" s="21" t="s">
        <v>328</v>
      </c>
      <c r="F119" s="15" t="s">
        <v>29</v>
      </c>
      <c r="G119" s="28"/>
      <c r="H119" s="17" t="s">
        <v>329</v>
      </c>
      <c r="I119" s="31">
        <v>3234</v>
      </c>
      <c r="J119" s="32">
        <v>41466</v>
      </c>
      <c r="K119" s="32">
        <v>41470</v>
      </c>
      <c r="L119" s="19">
        <v>3234</v>
      </c>
    </row>
    <row r="120" spans="1:12" s="6" customFormat="1" ht="42.75" customHeight="1">
      <c r="A120" s="13">
        <v>117</v>
      </c>
      <c r="B120" s="14" t="s">
        <v>330</v>
      </c>
      <c r="C120" s="15" t="s">
        <v>14</v>
      </c>
      <c r="D120" s="16" t="s">
        <v>15</v>
      </c>
      <c r="E120" s="21" t="s">
        <v>266</v>
      </c>
      <c r="F120" s="15" t="s">
        <v>29</v>
      </c>
      <c r="G120" s="42"/>
      <c r="H120" s="17" t="s">
        <v>267</v>
      </c>
      <c r="I120" s="31">
        <v>1180.4</v>
      </c>
      <c r="J120" s="32">
        <v>41487</v>
      </c>
      <c r="K120" s="32">
        <v>41517</v>
      </c>
      <c r="L120" s="19">
        <v>1180.4</v>
      </c>
    </row>
    <row r="121" spans="1:13" s="6" customFormat="1" ht="42.75" customHeight="1">
      <c r="A121" s="13">
        <v>118</v>
      </c>
      <c r="B121" s="14" t="s">
        <v>331</v>
      </c>
      <c r="C121" s="15" t="s">
        <v>14</v>
      </c>
      <c r="D121" s="16" t="s">
        <v>15</v>
      </c>
      <c r="E121" s="21" t="s">
        <v>332</v>
      </c>
      <c r="F121" s="15" t="s">
        <v>29</v>
      </c>
      <c r="G121" s="28"/>
      <c r="H121" s="43" t="s">
        <v>38</v>
      </c>
      <c r="I121" s="31">
        <v>78500</v>
      </c>
      <c r="J121" s="20" t="s">
        <v>39</v>
      </c>
      <c r="K121" s="32">
        <v>41639</v>
      </c>
      <c r="L121" s="19">
        <f>799.5+1743+578.5+1692+942+481-1673+623.5</f>
        <v>5186.5</v>
      </c>
      <c r="M121" s="71"/>
    </row>
    <row r="122" spans="1:12" s="6" customFormat="1" ht="42.75" customHeight="1">
      <c r="A122" s="13">
        <v>119</v>
      </c>
      <c r="B122" s="14" t="s">
        <v>333</v>
      </c>
      <c r="C122" s="15" t="s">
        <v>14</v>
      </c>
      <c r="D122" s="16" t="s">
        <v>15</v>
      </c>
      <c r="E122" s="21" t="s">
        <v>332</v>
      </c>
      <c r="F122" s="15" t="s">
        <v>29</v>
      </c>
      <c r="G122" s="28"/>
      <c r="H122" s="23" t="s">
        <v>38</v>
      </c>
      <c r="I122" s="31">
        <v>23000</v>
      </c>
      <c r="J122" s="20" t="s">
        <v>39</v>
      </c>
      <c r="K122" s="32">
        <v>41274</v>
      </c>
      <c r="L122" s="19">
        <f>368+539.5</f>
        <v>907.5</v>
      </c>
    </row>
    <row r="123" spans="1:12" s="6" customFormat="1" ht="42.75" customHeight="1">
      <c r="A123" s="13">
        <v>120</v>
      </c>
      <c r="B123" s="35" t="s">
        <v>334</v>
      </c>
      <c r="C123" s="15" t="s">
        <v>14</v>
      </c>
      <c r="D123" s="16" t="s">
        <v>15</v>
      </c>
      <c r="E123" s="33" t="s">
        <v>335</v>
      </c>
      <c r="F123" s="15" t="s">
        <v>29</v>
      </c>
      <c r="G123" s="42"/>
      <c r="H123" s="26" t="s">
        <v>336</v>
      </c>
      <c r="I123" s="31">
        <v>412.88</v>
      </c>
      <c r="J123" s="32">
        <v>41600</v>
      </c>
      <c r="K123" s="32">
        <v>41547</v>
      </c>
      <c r="L123" s="19">
        <v>409.45</v>
      </c>
    </row>
    <row r="124" spans="1:12" s="6" customFormat="1" ht="83.25" customHeight="1">
      <c r="A124" s="13">
        <v>121</v>
      </c>
      <c r="B124" s="35" t="s">
        <v>337</v>
      </c>
      <c r="C124" s="15" t="s">
        <v>14</v>
      </c>
      <c r="D124" s="16" t="s">
        <v>15</v>
      </c>
      <c r="E124" s="33" t="s">
        <v>338</v>
      </c>
      <c r="F124" s="15" t="s">
        <v>29</v>
      </c>
      <c r="G124" s="33" t="s">
        <v>339</v>
      </c>
      <c r="H124" s="26" t="s">
        <v>340</v>
      </c>
      <c r="I124" s="31">
        <v>4178.2</v>
      </c>
      <c r="J124" s="32">
        <v>41528</v>
      </c>
      <c r="K124" s="32">
        <v>41557</v>
      </c>
      <c r="L124" s="19">
        <f>771.29+1606.93+1799.97</f>
        <v>4178.1900000000005</v>
      </c>
    </row>
    <row r="125" spans="1:12" s="6" customFormat="1" ht="42.75" customHeight="1">
      <c r="A125" s="13">
        <v>122</v>
      </c>
      <c r="B125" s="35" t="s">
        <v>341</v>
      </c>
      <c r="C125" s="15" t="s">
        <v>14</v>
      </c>
      <c r="D125" s="16" t="s">
        <v>15</v>
      </c>
      <c r="E125" s="33" t="s">
        <v>342</v>
      </c>
      <c r="F125" s="15" t="s">
        <v>29</v>
      </c>
      <c r="G125" s="42"/>
      <c r="H125" s="26" t="s">
        <v>343</v>
      </c>
      <c r="I125" s="31">
        <v>112</v>
      </c>
      <c r="J125" s="32">
        <v>41551</v>
      </c>
      <c r="K125" s="32">
        <v>41608</v>
      </c>
      <c r="L125" s="19">
        <v>112</v>
      </c>
    </row>
    <row r="126" spans="1:13" s="6" customFormat="1" ht="42.75" customHeight="1">
      <c r="A126" s="13">
        <v>123</v>
      </c>
      <c r="B126" s="35" t="s">
        <v>344</v>
      </c>
      <c r="C126" s="15" t="s">
        <v>14</v>
      </c>
      <c r="D126" s="16" t="s">
        <v>15</v>
      </c>
      <c r="E126" s="33" t="s">
        <v>345</v>
      </c>
      <c r="F126" s="15" t="s">
        <v>29</v>
      </c>
      <c r="G126" s="42"/>
      <c r="H126" s="26" t="s">
        <v>270</v>
      </c>
      <c r="I126" s="31">
        <v>3252</v>
      </c>
      <c r="J126" s="32">
        <v>41640</v>
      </c>
      <c r="K126" s="32">
        <v>42735</v>
      </c>
      <c r="L126" s="19">
        <f>1083.48+422.7+1260.02+1083.48</f>
        <v>3849.68</v>
      </c>
      <c r="M126" s="71"/>
    </row>
    <row r="127" spans="1:13" s="6" customFormat="1" ht="42.75" customHeight="1">
      <c r="A127" s="13">
        <v>124</v>
      </c>
      <c r="B127" s="35" t="s">
        <v>346</v>
      </c>
      <c r="C127" s="15" t="s">
        <v>14</v>
      </c>
      <c r="D127" s="16" t="s">
        <v>15</v>
      </c>
      <c r="E127" s="33" t="s">
        <v>347</v>
      </c>
      <c r="F127" s="15" t="s">
        <v>29</v>
      </c>
      <c r="G127" s="42"/>
      <c r="H127" s="26" t="s">
        <v>270</v>
      </c>
      <c r="I127" s="31">
        <f>870+555</f>
        <v>1425</v>
      </c>
      <c r="J127" s="32">
        <v>41609</v>
      </c>
      <c r="K127" s="32">
        <v>42704</v>
      </c>
      <c r="L127" s="19">
        <v>358.33</v>
      </c>
      <c r="M127" s="71"/>
    </row>
    <row r="128" spans="1:12" s="6" customFormat="1" ht="42.75" customHeight="1">
      <c r="A128" s="13">
        <v>125</v>
      </c>
      <c r="B128" s="35" t="s">
        <v>348</v>
      </c>
      <c r="C128" s="15" t="s">
        <v>14</v>
      </c>
      <c r="D128" s="16" t="s">
        <v>15</v>
      </c>
      <c r="E128" s="33" t="s">
        <v>349</v>
      </c>
      <c r="F128" s="15" t="s">
        <v>29</v>
      </c>
      <c r="G128" s="42"/>
      <c r="H128" s="26" t="s">
        <v>350</v>
      </c>
      <c r="I128" s="31">
        <v>1300</v>
      </c>
      <c r="J128" s="32">
        <v>41558</v>
      </c>
      <c r="K128" s="32">
        <v>41565</v>
      </c>
      <c r="L128" s="19">
        <v>1300</v>
      </c>
    </row>
    <row r="129" spans="1:12" s="6" customFormat="1" ht="42.75" customHeight="1">
      <c r="A129" s="13">
        <v>126</v>
      </c>
      <c r="B129" s="35" t="s">
        <v>351</v>
      </c>
      <c r="C129" s="15" t="s">
        <v>14</v>
      </c>
      <c r="D129" s="16" t="s">
        <v>15</v>
      </c>
      <c r="E129" s="33" t="s">
        <v>352</v>
      </c>
      <c r="F129" s="15" t="s">
        <v>29</v>
      </c>
      <c r="G129" s="42"/>
      <c r="H129" s="26" t="s">
        <v>353</v>
      </c>
      <c r="I129" s="31">
        <v>1830</v>
      </c>
      <c r="J129" s="32">
        <v>41569</v>
      </c>
      <c r="K129" s="32">
        <v>41608</v>
      </c>
      <c r="L129" s="19">
        <v>1830</v>
      </c>
    </row>
    <row r="130" spans="1:12" s="6" customFormat="1" ht="42.75" customHeight="1">
      <c r="A130" s="13">
        <v>127</v>
      </c>
      <c r="B130" s="35" t="s">
        <v>354</v>
      </c>
      <c r="C130" s="15" t="s">
        <v>14</v>
      </c>
      <c r="D130" s="16" t="s">
        <v>15</v>
      </c>
      <c r="E130" s="33" t="s">
        <v>355</v>
      </c>
      <c r="F130" s="15" t="s">
        <v>29</v>
      </c>
      <c r="G130" s="42"/>
      <c r="H130" s="26" t="s">
        <v>356</v>
      </c>
      <c r="I130" s="31">
        <v>494</v>
      </c>
      <c r="J130" s="32">
        <v>41565</v>
      </c>
      <c r="K130" s="32">
        <v>41618</v>
      </c>
      <c r="L130" s="19">
        <v>494</v>
      </c>
    </row>
    <row r="131" spans="1:12" s="6" customFormat="1" ht="42.75" customHeight="1">
      <c r="A131" s="13">
        <v>128</v>
      </c>
      <c r="B131" s="35" t="s">
        <v>357</v>
      </c>
      <c r="C131" s="15" t="s">
        <v>14</v>
      </c>
      <c r="D131" s="16" t="s">
        <v>15</v>
      </c>
      <c r="E131" s="33" t="s">
        <v>358</v>
      </c>
      <c r="F131" s="15" t="s">
        <v>29</v>
      </c>
      <c r="G131" s="42"/>
      <c r="H131" s="26" t="s">
        <v>350</v>
      </c>
      <c r="I131" s="31">
        <v>6500</v>
      </c>
      <c r="J131" s="32">
        <v>41563</v>
      </c>
      <c r="K131" s="32">
        <v>41611</v>
      </c>
      <c r="L131" s="19">
        <v>6500</v>
      </c>
    </row>
    <row r="132" spans="1:12" s="6" customFormat="1" ht="42.75" customHeight="1">
      <c r="A132" s="13">
        <v>129</v>
      </c>
      <c r="B132" s="35" t="s">
        <v>359</v>
      </c>
      <c r="C132" s="15" t="s">
        <v>14</v>
      </c>
      <c r="D132" s="16" t="s">
        <v>15</v>
      </c>
      <c r="E132" s="33" t="s">
        <v>360</v>
      </c>
      <c r="F132" s="15" t="s">
        <v>29</v>
      </c>
      <c r="G132" s="42"/>
      <c r="H132" s="26" t="s">
        <v>54</v>
      </c>
      <c r="I132" s="31">
        <v>340</v>
      </c>
      <c r="J132" s="32">
        <v>41565</v>
      </c>
      <c r="K132" s="32">
        <v>41608</v>
      </c>
      <c r="L132" s="19">
        <v>340</v>
      </c>
    </row>
    <row r="133" spans="1:12" s="6" customFormat="1" ht="42.75" customHeight="1">
      <c r="A133" s="13">
        <v>130</v>
      </c>
      <c r="B133" s="35" t="s">
        <v>361</v>
      </c>
      <c r="C133" s="15" t="s">
        <v>14</v>
      </c>
      <c r="D133" s="16" t="s">
        <v>15</v>
      </c>
      <c r="E133" s="33" t="s">
        <v>362</v>
      </c>
      <c r="F133" s="15" t="s">
        <v>29</v>
      </c>
      <c r="G133" s="42"/>
      <c r="H133" s="26" t="s">
        <v>363</v>
      </c>
      <c r="I133" s="31">
        <v>8200</v>
      </c>
      <c r="J133" s="32">
        <v>41572</v>
      </c>
      <c r="K133" s="32">
        <v>41608</v>
      </c>
      <c r="L133" s="19">
        <v>8200</v>
      </c>
    </row>
    <row r="134" spans="1:13" s="6" customFormat="1" ht="49.5" customHeight="1">
      <c r="A134" s="13">
        <v>131</v>
      </c>
      <c r="B134" s="35" t="s">
        <v>364</v>
      </c>
      <c r="C134" s="15" t="s">
        <v>14</v>
      </c>
      <c r="D134" s="16" t="s">
        <v>15</v>
      </c>
      <c r="E134" s="33" t="s">
        <v>365</v>
      </c>
      <c r="F134" s="15" t="s">
        <v>29</v>
      </c>
      <c r="G134" s="42"/>
      <c r="H134" s="26" t="s">
        <v>61</v>
      </c>
      <c r="I134" s="31">
        <v>31665</v>
      </c>
      <c r="J134" s="32">
        <v>41640</v>
      </c>
      <c r="K134" s="32">
        <v>42369</v>
      </c>
      <c r="L134" s="19">
        <f>388.22+538.69+3958.13+8441.28+24336.42+7450</f>
        <v>45112.74</v>
      </c>
      <c r="M134" s="71"/>
    </row>
    <row r="135" spans="1:13" s="6" customFormat="1" ht="42.75" customHeight="1">
      <c r="A135" s="13">
        <v>132</v>
      </c>
      <c r="B135" s="35" t="s">
        <v>366</v>
      </c>
      <c r="C135" s="15" t="s">
        <v>14</v>
      </c>
      <c r="D135" s="16" t="s">
        <v>15</v>
      </c>
      <c r="E135" s="33" t="s">
        <v>367</v>
      </c>
      <c r="F135" s="15" t="s">
        <v>29</v>
      </c>
      <c r="G135" s="42"/>
      <c r="H135" s="26" t="s">
        <v>368</v>
      </c>
      <c r="I135" s="31">
        <v>4640</v>
      </c>
      <c r="J135" s="32">
        <v>41640</v>
      </c>
      <c r="K135" s="32">
        <v>42735</v>
      </c>
      <c r="L135" s="19">
        <f>2900+580+2710</f>
        <v>6190</v>
      </c>
      <c r="M135" s="71"/>
    </row>
    <row r="136" spans="1:13" s="6" customFormat="1" ht="42.75" customHeight="1">
      <c r="A136" s="13">
        <v>133</v>
      </c>
      <c r="B136" s="35" t="s">
        <v>369</v>
      </c>
      <c r="C136" s="15" t="s">
        <v>14</v>
      </c>
      <c r="D136" s="16" t="s">
        <v>15</v>
      </c>
      <c r="E136" s="33" t="s">
        <v>370</v>
      </c>
      <c r="F136" s="15" t="s">
        <v>29</v>
      </c>
      <c r="G136" s="42"/>
      <c r="H136" s="26" t="s">
        <v>371</v>
      </c>
      <c r="I136" s="31">
        <v>12800</v>
      </c>
      <c r="J136" s="32">
        <v>41599</v>
      </c>
      <c r="K136" s="32">
        <v>42004</v>
      </c>
      <c r="L136" s="19">
        <f>12400+1580+400+2440+901.64</f>
        <v>17721.64</v>
      </c>
      <c r="M136" s="53"/>
    </row>
    <row r="137" spans="1:12" s="6" customFormat="1" ht="42.75" customHeight="1">
      <c r="A137" s="13">
        <v>134</v>
      </c>
      <c r="B137" s="35" t="s">
        <v>372</v>
      </c>
      <c r="C137" s="15" t="s">
        <v>14</v>
      </c>
      <c r="D137" s="16" t="s">
        <v>15</v>
      </c>
      <c r="E137" s="33" t="s">
        <v>373</v>
      </c>
      <c r="F137" s="15" t="s">
        <v>29</v>
      </c>
      <c r="G137" s="42"/>
      <c r="H137" s="26" t="s">
        <v>319</v>
      </c>
      <c r="I137" s="31">
        <v>353.47</v>
      </c>
      <c r="J137" s="32">
        <v>41589</v>
      </c>
      <c r="K137" s="32">
        <v>41608</v>
      </c>
      <c r="L137" s="19">
        <v>353.47</v>
      </c>
    </row>
    <row r="138" spans="1:12" s="6" customFormat="1" ht="42.75" customHeight="1">
      <c r="A138" s="13">
        <v>135</v>
      </c>
      <c r="B138" s="35" t="s">
        <v>374</v>
      </c>
      <c r="C138" s="15" t="s">
        <v>14</v>
      </c>
      <c r="D138" s="16" t="s">
        <v>15</v>
      </c>
      <c r="E138" s="33" t="s">
        <v>375</v>
      </c>
      <c r="F138" s="15" t="s">
        <v>57</v>
      </c>
      <c r="G138" s="42"/>
      <c r="H138" s="26" t="s">
        <v>376</v>
      </c>
      <c r="I138" s="31">
        <v>12555</v>
      </c>
      <c r="J138" s="32">
        <v>41593</v>
      </c>
      <c r="K138" s="32">
        <v>41648</v>
      </c>
      <c r="L138" s="19">
        <v>12555</v>
      </c>
    </row>
    <row r="139" spans="1:13" s="6" customFormat="1" ht="42.75" customHeight="1">
      <c r="A139" s="13">
        <v>136</v>
      </c>
      <c r="B139" s="35" t="s">
        <v>377</v>
      </c>
      <c r="C139" s="15" t="s">
        <v>14</v>
      </c>
      <c r="D139" s="16" t="s">
        <v>15</v>
      </c>
      <c r="E139" s="33" t="s">
        <v>378</v>
      </c>
      <c r="F139" s="15" t="s">
        <v>29</v>
      </c>
      <c r="G139" s="42"/>
      <c r="H139" s="26" t="s">
        <v>379</v>
      </c>
      <c r="I139" s="31">
        <v>900</v>
      </c>
      <c r="J139" s="32">
        <v>41640</v>
      </c>
      <c r="K139" s="32">
        <v>42735</v>
      </c>
      <c r="L139" s="19">
        <f>300+300+300</f>
        <v>900</v>
      </c>
      <c r="M139" s="71"/>
    </row>
    <row r="140" spans="1:13" s="6" customFormat="1" ht="42.75" customHeight="1">
      <c r="A140" s="13">
        <v>137</v>
      </c>
      <c r="B140" s="35" t="s">
        <v>380</v>
      </c>
      <c r="C140" s="15" t="s">
        <v>14</v>
      </c>
      <c r="D140" s="16" t="s">
        <v>15</v>
      </c>
      <c r="E140" s="33" t="s">
        <v>381</v>
      </c>
      <c r="F140" s="15" t="s">
        <v>29</v>
      </c>
      <c r="G140" s="42"/>
      <c r="H140" s="26" t="s">
        <v>93</v>
      </c>
      <c r="I140" s="31">
        <v>413.16</v>
      </c>
      <c r="J140" s="32">
        <v>41640</v>
      </c>
      <c r="K140" s="32">
        <v>42369</v>
      </c>
      <c r="L140" s="19">
        <f>206.57</f>
        <v>206.57</v>
      </c>
      <c r="M140" s="53"/>
    </row>
    <row r="141" spans="1:13" s="6" customFormat="1" ht="42.75" customHeight="1">
      <c r="A141" s="13">
        <v>138</v>
      </c>
      <c r="B141" s="35" t="s">
        <v>382</v>
      </c>
      <c r="C141" s="15" t="s">
        <v>14</v>
      </c>
      <c r="D141" s="16" t="s">
        <v>15</v>
      </c>
      <c r="E141" s="33" t="s">
        <v>383</v>
      </c>
      <c r="F141" s="15" t="s">
        <v>57</v>
      </c>
      <c r="G141" s="42"/>
      <c r="H141" s="26" t="s">
        <v>384</v>
      </c>
      <c r="I141" s="31">
        <v>0</v>
      </c>
      <c r="J141" s="32">
        <v>41640</v>
      </c>
      <c r="K141" s="32">
        <v>42004</v>
      </c>
      <c r="L141" s="19">
        <f>3979.06+3629.63+2660.39+3268.61+19118.35+19.35</f>
        <v>32675.39</v>
      </c>
      <c r="M141" s="71"/>
    </row>
    <row r="142" spans="1:13" s="6" customFormat="1" ht="42.75" customHeight="1">
      <c r="A142" s="13">
        <v>139</v>
      </c>
      <c r="B142" s="35" t="s">
        <v>385</v>
      </c>
      <c r="C142" s="15" t="s">
        <v>14</v>
      </c>
      <c r="D142" s="16" t="s">
        <v>15</v>
      </c>
      <c r="E142" s="33" t="s">
        <v>386</v>
      </c>
      <c r="F142" s="15" t="s">
        <v>29</v>
      </c>
      <c r="G142" s="42"/>
      <c r="H142" s="26" t="s">
        <v>117</v>
      </c>
      <c r="I142" s="31">
        <v>15922</v>
      </c>
      <c r="J142" s="32">
        <v>41640</v>
      </c>
      <c r="K142" s="32">
        <v>42369</v>
      </c>
      <c r="L142" s="19">
        <f>123+1000+2091+5499.54+6153.74+4688</f>
        <v>19555.28</v>
      </c>
      <c r="M142" s="71"/>
    </row>
    <row r="143" spans="1:13" s="6" customFormat="1" ht="42.75" customHeight="1">
      <c r="A143" s="13">
        <v>140</v>
      </c>
      <c r="B143" s="35" t="s">
        <v>387</v>
      </c>
      <c r="C143" s="15" t="s">
        <v>14</v>
      </c>
      <c r="D143" s="16" t="s">
        <v>15</v>
      </c>
      <c r="E143" s="33" t="s">
        <v>388</v>
      </c>
      <c r="F143" s="15" t="s">
        <v>29</v>
      </c>
      <c r="G143" s="42"/>
      <c r="H143" s="26" t="s">
        <v>136</v>
      </c>
      <c r="I143" s="31">
        <v>11475.41</v>
      </c>
      <c r="J143" s="32">
        <v>41609</v>
      </c>
      <c r="K143" s="32">
        <v>42004</v>
      </c>
      <c r="L143" s="19">
        <f>3278.69+4098.36</f>
        <v>7377.049999999999</v>
      </c>
      <c r="M143" s="53"/>
    </row>
    <row r="144" spans="1:13" s="6" customFormat="1" ht="42.75" customHeight="1">
      <c r="A144" s="13">
        <v>141</v>
      </c>
      <c r="B144" s="35" t="s">
        <v>389</v>
      </c>
      <c r="C144" s="15" t="s">
        <v>14</v>
      </c>
      <c r="D144" s="16" t="s">
        <v>15</v>
      </c>
      <c r="E144" s="33" t="s">
        <v>390</v>
      </c>
      <c r="F144" s="15" t="s">
        <v>29</v>
      </c>
      <c r="G144" s="42"/>
      <c r="H144" s="26" t="s">
        <v>96</v>
      </c>
      <c r="I144" s="31">
        <v>4680</v>
      </c>
      <c r="J144" s="32">
        <v>41640</v>
      </c>
      <c r="K144" s="32">
        <v>42735</v>
      </c>
      <c r="L144" s="19">
        <f>1560+1560+1560</f>
        <v>4680</v>
      </c>
      <c r="M144" s="71"/>
    </row>
    <row r="145" spans="1:13" s="6" customFormat="1" ht="42.75" customHeight="1">
      <c r="A145" s="13">
        <v>142</v>
      </c>
      <c r="B145" s="35" t="s">
        <v>391</v>
      </c>
      <c r="C145" s="15" t="s">
        <v>14</v>
      </c>
      <c r="D145" s="16" t="s">
        <v>15</v>
      </c>
      <c r="E145" s="21" t="s">
        <v>143</v>
      </c>
      <c r="F145" s="15" t="s">
        <v>57</v>
      </c>
      <c r="G145" s="42"/>
      <c r="H145" s="26" t="s">
        <v>144</v>
      </c>
      <c r="I145" s="31">
        <v>194329</v>
      </c>
      <c r="J145" s="32">
        <v>41640</v>
      </c>
      <c r="K145" s="32">
        <v>42735</v>
      </c>
      <c r="L145" s="19">
        <f>5398.03+5398.04+5398.04+5398.04+5398.04+27119.81+54219.98+63477.72</f>
        <v>171807.7</v>
      </c>
      <c r="M145" s="71"/>
    </row>
    <row r="146" spans="1:13" s="6" customFormat="1" ht="65.25" customHeight="1">
      <c r="A146" s="13">
        <v>143</v>
      </c>
      <c r="B146" s="35">
        <v>5396845162</v>
      </c>
      <c r="C146" s="15" t="s">
        <v>14</v>
      </c>
      <c r="D146" s="16" t="s">
        <v>15</v>
      </c>
      <c r="E146" s="21" t="s">
        <v>155</v>
      </c>
      <c r="F146" s="30" t="s">
        <v>17</v>
      </c>
      <c r="G146" s="33" t="s">
        <v>392</v>
      </c>
      <c r="H146" s="26" t="s">
        <v>157</v>
      </c>
      <c r="I146" s="31">
        <v>106913.94</v>
      </c>
      <c r="J146" s="32">
        <v>41640</v>
      </c>
      <c r="K146" s="32">
        <v>42004</v>
      </c>
      <c r="L146" s="19">
        <f>2490.05+580.41+6305.06+6841.53+5164.4+37097.66</f>
        <v>58479.11</v>
      </c>
      <c r="M146" s="53"/>
    </row>
    <row r="147" spans="1:12" s="11" customFormat="1" ht="42.75" customHeight="1">
      <c r="A147" s="13">
        <v>144</v>
      </c>
      <c r="B147" s="14" t="s">
        <v>393</v>
      </c>
      <c r="C147" s="15" t="s">
        <v>14</v>
      </c>
      <c r="D147" s="16" t="s">
        <v>15</v>
      </c>
      <c r="E147" s="22" t="s">
        <v>394</v>
      </c>
      <c r="F147" s="15" t="s">
        <v>29</v>
      </c>
      <c r="G147" s="13"/>
      <c r="H147" s="26" t="s">
        <v>395</v>
      </c>
      <c r="I147" s="24">
        <v>14.25</v>
      </c>
      <c r="J147" s="25">
        <v>41333</v>
      </c>
      <c r="K147" s="25">
        <v>41393</v>
      </c>
      <c r="L147" s="19">
        <v>14.25</v>
      </c>
    </row>
    <row r="148" spans="1:13" s="11" customFormat="1" ht="42.75" customHeight="1">
      <c r="A148" s="13">
        <v>145</v>
      </c>
      <c r="B148" s="14">
        <v>0</v>
      </c>
      <c r="C148" s="15" t="s">
        <v>14</v>
      </c>
      <c r="D148" s="16" t="s">
        <v>15</v>
      </c>
      <c r="E148" s="22" t="s">
        <v>396</v>
      </c>
      <c r="F148" s="15" t="s">
        <v>57</v>
      </c>
      <c r="G148" s="13"/>
      <c r="H148" s="26" t="s">
        <v>38</v>
      </c>
      <c r="I148" s="24">
        <v>0</v>
      </c>
      <c r="J148" s="25">
        <v>41621</v>
      </c>
      <c r="K148" s="25">
        <v>42004</v>
      </c>
      <c r="L148" s="19">
        <f>6294.25+4859.27</f>
        <v>11153.52</v>
      </c>
      <c r="M148" s="53"/>
    </row>
    <row r="149" spans="1:12" s="11" customFormat="1" ht="42.75" customHeight="1">
      <c r="A149" s="13">
        <v>146</v>
      </c>
      <c r="B149" s="14" t="s">
        <v>397</v>
      </c>
      <c r="C149" s="15" t="s">
        <v>14</v>
      </c>
      <c r="D149" s="16" t="s">
        <v>15</v>
      </c>
      <c r="E149" s="22" t="s">
        <v>398</v>
      </c>
      <c r="F149" s="15" t="s">
        <v>29</v>
      </c>
      <c r="G149" s="13"/>
      <c r="H149" s="26" t="s">
        <v>399</v>
      </c>
      <c r="I149" s="24">
        <v>585</v>
      </c>
      <c r="J149" s="25">
        <v>41627</v>
      </c>
      <c r="K149" s="25">
        <v>41670</v>
      </c>
      <c r="L149" s="19">
        <v>585</v>
      </c>
    </row>
    <row r="150" spans="1:13" s="11" customFormat="1" ht="42.75" customHeight="1">
      <c r="A150" s="13">
        <v>147</v>
      </c>
      <c r="B150" s="14" t="s">
        <v>400</v>
      </c>
      <c r="C150" s="15" t="s">
        <v>14</v>
      </c>
      <c r="D150" s="16" t="s">
        <v>15</v>
      </c>
      <c r="E150" s="22" t="s">
        <v>401</v>
      </c>
      <c r="F150" s="15" t="s">
        <v>29</v>
      </c>
      <c r="G150" s="13"/>
      <c r="H150" s="26" t="s">
        <v>90</v>
      </c>
      <c r="I150" s="24">
        <v>1350</v>
      </c>
      <c r="J150" s="25">
        <v>41640</v>
      </c>
      <c r="K150" s="25">
        <v>42735</v>
      </c>
      <c r="L150" s="19">
        <f>100+482.7+533+260+132.28+1399.13+588</f>
        <v>3495.11</v>
      </c>
      <c r="M150" s="71"/>
    </row>
    <row r="151" spans="1:12" s="11" customFormat="1" ht="42.75" customHeight="1">
      <c r="A151" s="13">
        <v>148</v>
      </c>
      <c r="B151" s="14">
        <v>0</v>
      </c>
      <c r="C151" s="15" t="s">
        <v>14</v>
      </c>
      <c r="D151" s="16" t="s">
        <v>15</v>
      </c>
      <c r="E151" s="22" t="s">
        <v>402</v>
      </c>
      <c r="F151" s="15" t="s">
        <v>403</v>
      </c>
      <c r="G151" s="13"/>
      <c r="H151" s="26" t="s">
        <v>404</v>
      </c>
      <c r="I151" s="24">
        <v>0</v>
      </c>
      <c r="J151" s="20" t="s">
        <v>39</v>
      </c>
      <c r="K151" s="20" t="s">
        <v>39</v>
      </c>
      <c r="L151" s="19">
        <f>132+66</f>
        <v>198</v>
      </c>
    </row>
    <row r="152" spans="1:13" s="11" customFormat="1" ht="42.75" customHeight="1">
      <c r="A152" s="13">
        <v>149</v>
      </c>
      <c r="B152" s="14">
        <v>0</v>
      </c>
      <c r="C152" s="15" t="s">
        <v>14</v>
      </c>
      <c r="D152" s="16" t="s">
        <v>15</v>
      </c>
      <c r="E152" s="21" t="s">
        <v>405</v>
      </c>
      <c r="F152" s="15" t="s">
        <v>403</v>
      </c>
      <c r="G152" s="13"/>
      <c r="H152" s="17" t="s">
        <v>406</v>
      </c>
      <c r="I152" s="19">
        <v>0</v>
      </c>
      <c r="J152" s="20">
        <v>40909</v>
      </c>
      <c r="K152" s="20" t="s">
        <v>39</v>
      </c>
      <c r="L152" s="19">
        <f>1088.55+1209.5+1209.5+991.39-574.02+991.39+991.39+991.39</f>
        <v>6899.090000000001</v>
      </c>
      <c r="M152" s="53"/>
    </row>
    <row r="153" spans="1:12" s="11" customFormat="1" ht="42.75" customHeight="1">
      <c r="A153" s="13">
        <v>150</v>
      </c>
      <c r="B153" s="14">
        <v>0</v>
      </c>
      <c r="C153" s="15" t="s">
        <v>14</v>
      </c>
      <c r="D153" s="16" t="s">
        <v>15</v>
      </c>
      <c r="E153" s="22" t="s">
        <v>407</v>
      </c>
      <c r="F153" s="15" t="s">
        <v>403</v>
      </c>
      <c r="G153" s="13"/>
      <c r="H153" s="26" t="s">
        <v>408</v>
      </c>
      <c r="I153" s="24">
        <v>0</v>
      </c>
      <c r="J153" s="20" t="s">
        <v>39</v>
      </c>
      <c r="K153" s="20" t="s">
        <v>39</v>
      </c>
      <c r="L153" s="19">
        <v>0</v>
      </c>
    </row>
    <row r="154" spans="1:12" s="11" customFormat="1" ht="42.75" customHeight="1">
      <c r="A154" s="13">
        <v>151</v>
      </c>
      <c r="B154" s="14">
        <v>0</v>
      </c>
      <c r="C154" s="15" t="s">
        <v>14</v>
      </c>
      <c r="D154" s="16" t="s">
        <v>15</v>
      </c>
      <c r="E154" s="22" t="s">
        <v>409</v>
      </c>
      <c r="F154" s="15" t="s">
        <v>403</v>
      </c>
      <c r="G154" s="13"/>
      <c r="H154" s="26" t="s">
        <v>408</v>
      </c>
      <c r="I154" s="24">
        <v>0</v>
      </c>
      <c r="J154" s="20" t="s">
        <v>39</v>
      </c>
      <c r="K154" s="20" t="s">
        <v>39</v>
      </c>
      <c r="L154" s="19">
        <f>700+574.99</f>
        <v>1274.99</v>
      </c>
    </row>
    <row r="155" spans="1:13" s="11" customFormat="1" ht="42.75" customHeight="1">
      <c r="A155" s="13">
        <v>152</v>
      </c>
      <c r="B155" s="14">
        <v>0</v>
      </c>
      <c r="C155" s="15" t="s">
        <v>14</v>
      </c>
      <c r="D155" s="16" t="s">
        <v>15</v>
      </c>
      <c r="E155" s="22" t="s">
        <v>410</v>
      </c>
      <c r="F155" s="15" t="s">
        <v>403</v>
      </c>
      <c r="G155" s="13"/>
      <c r="H155" s="26" t="s">
        <v>408</v>
      </c>
      <c r="I155" s="24">
        <v>0</v>
      </c>
      <c r="J155" s="20" t="s">
        <v>39</v>
      </c>
      <c r="K155" s="20" t="s">
        <v>39</v>
      </c>
      <c r="L155" s="19">
        <f>8724.48+134.36+610.74+4747.06+10740.88</f>
        <v>24957.519999999997</v>
      </c>
      <c r="M155" s="71"/>
    </row>
    <row r="156" spans="1:13" s="11" customFormat="1" ht="42.75" customHeight="1">
      <c r="A156" s="13">
        <v>153</v>
      </c>
      <c r="B156" s="14">
        <v>0</v>
      </c>
      <c r="C156" s="15" t="s">
        <v>14</v>
      </c>
      <c r="D156" s="16" t="s">
        <v>15</v>
      </c>
      <c r="E156" s="22" t="s">
        <v>411</v>
      </c>
      <c r="F156" s="15" t="s">
        <v>403</v>
      </c>
      <c r="G156" s="13"/>
      <c r="H156" s="26" t="s">
        <v>408</v>
      </c>
      <c r="I156" s="24">
        <v>0</v>
      </c>
      <c r="J156" s="20" t="s">
        <v>39</v>
      </c>
      <c r="K156" s="20" t="s">
        <v>39</v>
      </c>
      <c r="L156" s="19">
        <f>9288+3746.27+8214.62+6522.77+7711.77+7948.6+10868.3+11291.57+6277.5+334.4+2322.5+140.6+1866.3+2379.7+1533.1+815.5+2236.7+1237.3+482.37+152.62+3282+90.33+2904+453.87+3489+155.74+600.52+1871.48+68.7+411.72+312.31+2709.26+596.04+82.48+374.93+13442.47+5208.23</f>
        <v>121423.56999999996</v>
      </c>
      <c r="M156" s="53"/>
    </row>
    <row r="157" spans="1:12" s="11" customFormat="1" ht="42.75" customHeight="1">
      <c r="A157" s="13">
        <v>154</v>
      </c>
      <c r="B157" s="14">
        <v>0</v>
      </c>
      <c r="C157" s="15" t="s">
        <v>14</v>
      </c>
      <c r="D157" s="16" t="s">
        <v>15</v>
      </c>
      <c r="E157" s="22" t="s">
        <v>412</v>
      </c>
      <c r="F157" s="15" t="s">
        <v>403</v>
      </c>
      <c r="G157" s="13"/>
      <c r="H157" s="26" t="s">
        <v>408</v>
      </c>
      <c r="I157" s="24">
        <v>0</v>
      </c>
      <c r="J157" s="20" t="s">
        <v>39</v>
      </c>
      <c r="K157" s="20" t="s">
        <v>413</v>
      </c>
      <c r="L157" s="19">
        <v>0</v>
      </c>
    </row>
    <row r="158" spans="1:12" s="11" customFormat="1" ht="42.75" customHeight="1">
      <c r="A158" s="13">
        <v>155</v>
      </c>
      <c r="B158" s="14">
        <v>0</v>
      </c>
      <c r="C158" s="15" t="s">
        <v>14</v>
      </c>
      <c r="D158" s="16" t="s">
        <v>15</v>
      </c>
      <c r="E158" s="22" t="s">
        <v>414</v>
      </c>
      <c r="F158" s="15" t="s">
        <v>403</v>
      </c>
      <c r="G158" s="13"/>
      <c r="H158" s="26" t="s">
        <v>408</v>
      </c>
      <c r="I158" s="24">
        <v>0</v>
      </c>
      <c r="J158" s="20" t="s">
        <v>39</v>
      </c>
      <c r="K158" s="20" t="s">
        <v>39</v>
      </c>
      <c r="L158" s="19">
        <v>0</v>
      </c>
    </row>
    <row r="159" spans="1:13" s="11" customFormat="1" ht="42.75" customHeight="1">
      <c r="A159" s="13">
        <v>156</v>
      </c>
      <c r="B159" s="14">
        <v>0</v>
      </c>
      <c r="C159" s="15" t="s">
        <v>14</v>
      </c>
      <c r="D159" s="16" t="s">
        <v>15</v>
      </c>
      <c r="E159" s="22" t="s">
        <v>415</v>
      </c>
      <c r="F159" s="15" t="s">
        <v>403</v>
      </c>
      <c r="G159" s="13"/>
      <c r="H159" s="26" t="s">
        <v>408</v>
      </c>
      <c r="I159" s="24">
        <v>0</v>
      </c>
      <c r="J159" s="20" t="s">
        <v>39</v>
      </c>
      <c r="K159" s="20" t="s">
        <v>39</v>
      </c>
      <c r="L159" s="19">
        <f>725.29+699+725.29+996.98+844.61+714.79+716.06+594.48+130.79+127.09+577.66+130.98+595.34+2880.73+604.8+3605.72</f>
        <v>14669.609999999999</v>
      </c>
      <c r="M159" s="71"/>
    </row>
    <row r="160" spans="1:13" s="11" customFormat="1" ht="42.75" customHeight="1">
      <c r="A160" s="13">
        <v>157</v>
      </c>
      <c r="B160" s="14">
        <v>0</v>
      </c>
      <c r="C160" s="15" t="s">
        <v>14</v>
      </c>
      <c r="D160" s="16" t="s">
        <v>15</v>
      </c>
      <c r="E160" s="22" t="s">
        <v>416</v>
      </c>
      <c r="F160" s="15" t="s">
        <v>403</v>
      </c>
      <c r="G160" s="13"/>
      <c r="H160" s="26" t="s">
        <v>408</v>
      </c>
      <c r="I160" s="24">
        <v>0</v>
      </c>
      <c r="J160" s="20" t="s">
        <v>39</v>
      </c>
      <c r="K160" s="20" t="s">
        <v>39</v>
      </c>
      <c r="L160" s="19">
        <f>447+447+447+447+366.39+81.96+80.61+18.03+51.93+236.07+1828.54</f>
        <v>4451.530000000001</v>
      </c>
      <c r="M160" s="53"/>
    </row>
    <row r="161" spans="1:13" s="11" customFormat="1" ht="42.75" customHeight="1">
      <c r="A161" s="13">
        <v>158</v>
      </c>
      <c r="B161" s="14">
        <v>0</v>
      </c>
      <c r="C161" s="15" t="s">
        <v>14</v>
      </c>
      <c r="D161" s="16" t="s">
        <v>15</v>
      </c>
      <c r="E161" s="22" t="s">
        <v>417</v>
      </c>
      <c r="F161" s="15" t="s">
        <v>403</v>
      </c>
      <c r="G161" s="13"/>
      <c r="H161" s="26" t="s">
        <v>408</v>
      </c>
      <c r="I161" s="24">
        <v>0</v>
      </c>
      <c r="J161" s="20" t="s">
        <v>39</v>
      </c>
      <c r="K161" s="20" t="s">
        <v>39</v>
      </c>
      <c r="L161" s="19">
        <f>330+358+322+344+447+99.99+81.96+188.52+41.48+80.61+18.03+366.39</f>
        <v>2677.9800000000005</v>
      </c>
      <c r="M161" s="53"/>
    </row>
    <row r="162" spans="1:12" s="11" customFormat="1" ht="42.75" customHeight="1">
      <c r="A162" s="13">
        <v>159</v>
      </c>
      <c r="B162" s="14">
        <v>0</v>
      </c>
      <c r="C162" s="15" t="s">
        <v>14</v>
      </c>
      <c r="D162" s="16" t="s">
        <v>15</v>
      </c>
      <c r="E162" s="22" t="s">
        <v>418</v>
      </c>
      <c r="F162" s="15" t="s">
        <v>403</v>
      </c>
      <c r="G162" s="13"/>
      <c r="H162" s="26" t="s">
        <v>408</v>
      </c>
      <c r="I162" s="24">
        <v>0</v>
      </c>
      <c r="J162" s="20" t="s">
        <v>39</v>
      </c>
      <c r="K162" s="20" t="s">
        <v>39</v>
      </c>
      <c r="L162" s="19">
        <v>0</v>
      </c>
    </row>
    <row r="163" spans="1:12" s="11" customFormat="1" ht="42.75" customHeight="1">
      <c r="A163" s="13">
        <v>160</v>
      </c>
      <c r="B163" s="14">
        <v>0</v>
      </c>
      <c r="C163" s="15" t="s">
        <v>14</v>
      </c>
      <c r="D163" s="16" t="s">
        <v>15</v>
      </c>
      <c r="E163" s="22" t="s">
        <v>419</v>
      </c>
      <c r="F163" s="15" t="s">
        <v>403</v>
      </c>
      <c r="G163" s="13"/>
      <c r="H163" s="26" t="s">
        <v>408</v>
      </c>
      <c r="I163" s="24">
        <v>0</v>
      </c>
      <c r="J163" s="20" t="s">
        <v>39</v>
      </c>
      <c r="K163" s="20" t="s">
        <v>39</v>
      </c>
      <c r="L163" s="19">
        <v>0</v>
      </c>
    </row>
    <row r="164" spans="1:12" s="11" customFormat="1" ht="42.75" customHeight="1">
      <c r="A164" s="13">
        <v>161</v>
      </c>
      <c r="B164" s="14">
        <v>0</v>
      </c>
      <c r="C164" s="15" t="s">
        <v>14</v>
      </c>
      <c r="D164" s="16" t="s">
        <v>15</v>
      </c>
      <c r="E164" s="22" t="s">
        <v>420</v>
      </c>
      <c r="F164" s="15" t="s">
        <v>403</v>
      </c>
      <c r="G164" s="13"/>
      <c r="H164" s="26" t="s">
        <v>408</v>
      </c>
      <c r="I164" s="24">
        <v>0</v>
      </c>
      <c r="J164" s="20" t="s">
        <v>39</v>
      </c>
      <c r="K164" s="20" t="s">
        <v>39</v>
      </c>
      <c r="L164" s="19">
        <v>0</v>
      </c>
    </row>
    <row r="165" spans="1:13" s="11" customFormat="1" ht="42.75" customHeight="1">
      <c r="A165" s="13">
        <v>162</v>
      </c>
      <c r="B165" s="14">
        <v>0</v>
      </c>
      <c r="C165" s="15" t="s">
        <v>14</v>
      </c>
      <c r="D165" s="16" t="s">
        <v>15</v>
      </c>
      <c r="E165" s="22" t="s">
        <v>421</v>
      </c>
      <c r="F165" s="15" t="s">
        <v>403</v>
      </c>
      <c r="G165" s="13"/>
      <c r="H165" s="26" t="s">
        <v>408</v>
      </c>
      <c r="I165" s="24">
        <v>0</v>
      </c>
      <c r="J165" s="20" t="s">
        <v>39</v>
      </c>
      <c r="K165" s="20" t="s">
        <v>39</v>
      </c>
      <c r="L165" s="19">
        <f>4986.51+5370.98+27+309.99+1600+4438.83+499.98+5709.72</f>
        <v>22943.01</v>
      </c>
      <c r="M165" s="53"/>
    </row>
    <row r="166" spans="1:13" s="11" customFormat="1" ht="42.75" customHeight="1">
      <c r="A166" s="13">
        <v>163</v>
      </c>
      <c r="B166" s="14">
        <v>0</v>
      </c>
      <c r="C166" s="15" t="s">
        <v>14</v>
      </c>
      <c r="D166" s="16" t="s">
        <v>15</v>
      </c>
      <c r="E166" s="22" t="s">
        <v>422</v>
      </c>
      <c r="F166" s="15" t="s">
        <v>403</v>
      </c>
      <c r="G166" s="13"/>
      <c r="H166" s="26" t="s">
        <v>408</v>
      </c>
      <c r="I166" s="24">
        <v>0</v>
      </c>
      <c r="J166" s="20" t="s">
        <v>39</v>
      </c>
      <c r="K166" s="20" t="s">
        <v>39</v>
      </c>
      <c r="L166" s="19">
        <f>8109.77+5696.28+3902.46+4673.7+36058.3</f>
        <v>58440.51</v>
      </c>
      <c r="M166" s="71"/>
    </row>
    <row r="167" spans="1:12" s="11" customFormat="1" ht="42.75" customHeight="1">
      <c r="A167" s="13">
        <v>164</v>
      </c>
      <c r="B167" s="14">
        <v>0</v>
      </c>
      <c r="C167" s="15" t="s">
        <v>14</v>
      </c>
      <c r="D167" s="16" t="s">
        <v>15</v>
      </c>
      <c r="E167" s="22" t="s">
        <v>423</v>
      </c>
      <c r="F167" s="15" t="s">
        <v>403</v>
      </c>
      <c r="G167" s="13"/>
      <c r="H167" s="26" t="s">
        <v>408</v>
      </c>
      <c r="I167" s="24">
        <v>0</v>
      </c>
      <c r="J167" s="20" t="s">
        <v>39</v>
      </c>
      <c r="K167" s="20" t="s">
        <v>39</v>
      </c>
      <c r="L167" s="19">
        <f>27+309.99+27+309.99</f>
        <v>673.98</v>
      </c>
    </row>
    <row r="168" spans="1:12" s="11" customFormat="1" ht="42.75" customHeight="1">
      <c r="A168" s="13">
        <v>165</v>
      </c>
      <c r="B168" s="14">
        <v>0</v>
      </c>
      <c r="C168" s="15" t="s">
        <v>14</v>
      </c>
      <c r="D168" s="16" t="s">
        <v>15</v>
      </c>
      <c r="E168" s="22" t="s">
        <v>424</v>
      </c>
      <c r="F168" s="15" t="s">
        <v>403</v>
      </c>
      <c r="G168" s="13"/>
      <c r="H168" s="26" t="s">
        <v>408</v>
      </c>
      <c r="I168" s="24">
        <v>0</v>
      </c>
      <c r="J168" s="20" t="s">
        <v>39</v>
      </c>
      <c r="K168" s="20" t="s">
        <v>39</v>
      </c>
      <c r="L168" s="19">
        <v>0</v>
      </c>
    </row>
    <row r="169" spans="1:12" s="11" customFormat="1" ht="42.75" customHeight="1">
      <c r="A169" s="13">
        <v>166</v>
      </c>
      <c r="B169" s="14">
        <v>0</v>
      </c>
      <c r="C169" s="15" t="s">
        <v>14</v>
      </c>
      <c r="D169" s="16" t="s">
        <v>15</v>
      </c>
      <c r="E169" s="22" t="s">
        <v>425</v>
      </c>
      <c r="F169" s="15" t="s">
        <v>403</v>
      </c>
      <c r="G169" s="13"/>
      <c r="H169" s="26" t="s">
        <v>408</v>
      </c>
      <c r="I169" s="24">
        <v>0</v>
      </c>
      <c r="J169" s="20" t="s">
        <v>39</v>
      </c>
      <c r="K169" s="20" t="s">
        <v>39</v>
      </c>
      <c r="L169" s="19">
        <f>800+1125+1125+1125</f>
        <v>4175</v>
      </c>
    </row>
    <row r="170" spans="1:12" s="11" customFormat="1" ht="42.75" customHeight="1">
      <c r="A170" s="13">
        <v>167</v>
      </c>
      <c r="B170" s="14">
        <v>0</v>
      </c>
      <c r="C170" s="15" t="s">
        <v>14</v>
      </c>
      <c r="D170" s="16" t="s">
        <v>15</v>
      </c>
      <c r="E170" s="22" t="s">
        <v>426</v>
      </c>
      <c r="F170" s="15" t="s">
        <v>403</v>
      </c>
      <c r="G170" s="13"/>
      <c r="H170" s="26" t="s">
        <v>408</v>
      </c>
      <c r="I170" s="24">
        <v>0</v>
      </c>
      <c r="J170" s="20" t="s">
        <v>39</v>
      </c>
      <c r="K170" s="20" t="s">
        <v>39</v>
      </c>
      <c r="L170" s="19">
        <f>750+24.99+750+24.99+750+24.99</f>
        <v>2324.97</v>
      </c>
    </row>
    <row r="171" spans="1:13" s="11" customFormat="1" ht="42.75" customHeight="1">
      <c r="A171" s="13">
        <v>168</v>
      </c>
      <c r="B171" s="14">
        <v>0</v>
      </c>
      <c r="C171" s="15" t="s">
        <v>14</v>
      </c>
      <c r="D171" s="16" t="s">
        <v>15</v>
      </c>
      <c r="E171" s="22" t="s">
        <v>427</v>
      </c>
      <c r="F171" s="15" t="s">
        <v>403</v>
      </c>
      <c r="G171" s="13"/>
      <c r="H171" s="26" t="s">
        <v>408</v>
      </c>
      <c r="I171" s="24">
        <v>0</v>
      </c>
      <c r="J171" s="20" t="s">
        <v>39</v>
      </c>
      <c r="K171" s="20" t="s">
        <v>39</v>
      </c>
      <c r="L171" s="19">
        <f>1400+4241.82+409.82+3656.83+90.16+1035.48+804.5+4706.74</f>
        <v>16345.349999999999</v>
      </c>
      <c r="M171" s="53"/>
    </row>
    <row r="172" spans="1:13" s="11" customFormat="1" ht="42.75" customHeight="1">
      <c r="A172" s="13">
        <v>169</v>
      </c>
      <c r="B172" s="14">
        <v>0</v>
      </c>
      <c r="C172" s="15" t="s">
        <v>14</v>
      </c>
      <c r="D172" s="16" t="s">
        <v>15</v>
      </c>
      <c r="E172" s="22" t="s">
        <v>428</v>
      </c>
      <c r="F172" s="15" t="s">
        <v>403</v>
      </c>
      <c r="G172" s="13"/>
      <c r="H172" s="26" t="s">
        <v>408</v>
      </c>
      <c r="I172" s="24">
        <v>0</v>
      </c>
      <c r="J172" s="20" t="s">
        <v>39</v>
      </c>
      <c r="K172" s="20" t="s">
        <v>39</v>
      </c>
      <c r="L172" s="19">
        <f>3137.05+3397.85+1526.48+659.25+18+395.26+791.49+10904.51</f>
        <v>20829.89</v>
      </c>
      <c r="M172" s="71"/>
    </row>
    <row r="173" spans="1:12" s="11" customFormat="1" ht="42.75" customHeight="1">
      <c r="A173" s="13">
        <v>170</v>
      </c>
      <c r="B173" s="14">
        <v>0</v>
      </c>
      <c r="C173" s="15" t="s">
        <v>14</v>
      </c>
      <c r="D173" s="16" t="s">
        <v>15</v>
      </c>
      <c r="E173" s="22" t="s">
        <v>429</v>
      </c>
      <c r="F173" s="15" t="s">
        <v>403</v>
      </c>
      <c r="G173" s="13"/>
      <c r="H173" s="26" t="s">
        <v>408</v>
      </c>
      <c r="I173" s="24">
        <v>0</v>
      </c>
      <c r="J173" s="20" t="s">
        <v>39</v>
      </c>
      <c r="K173" s="20" t="s">
        <v>39</v>
      </c>
      <c r="L173" s="19">
        <f>5275.88+1791.88+2911.37+5275.88+1791.88+2911.37+593.76+7404.56</f>
        <v>27956.58</v>
      </c>
    </row>
    <row r="174" spans="1:13" s="11" customFormat="1" ht="42.75" customHeight="1">
      <c r="A174" s="13">
        <v>171</v>
      </c>
      <c r="B174" s="14">
        <v>0</v>
      </c>
      <c r="C174" s="15" t="s">
        <v>14</v>
      </c>
      <c r="D174" s="16" t="s">
        <v>15</v>
      </c>
      <c r="E174" s="22" t="s">
        <v>430</v>
      </c>
      <c r="F174" s="15" t="s">
        <v>403</v>
      </c>
      <c r="G174" s="13"/>
      <c r="H174" s="26" t="s">
        <v>408</v>
      </c>
      <c r="I174" s="24">
        <v>0</v>
      </c>
      <c r="J174" s="20" t="s">
        <v>39</v>
      </c>
      <c r="K174" s="20" t="s">
        <v>39</v>
      </c>
      <c r="L174" s="19">
        <f>650+525+97.5+65+162.5+256.15+153.69+22.54+56.35+33.81+102.46+27.05+18.03+122.95+81.97+204.92+45.08+1404.1</f>
        <v>4029.1</v>
      </c>
      <c r="M174" s="53"/>
    </row>
    <row r="175" spans="1:13" s="11" customFormat="1" ht="42.75" customHeight="1">
      <c r="A175" s="13">
        <v>172</v>
      </c>
      <c r="B175" s="14">
        <v>0</v>
      </c>
      <c r="C175" s="15" t="s">
        <v>14</v>
      </c>
      <c r="D175" s="16" t="s">
        <v>15</v>
      </c>
      <c r="E175" s="22" t="s">
        <v>431</v>
      </c>
      <c r="F175" s="15" t="s">
        <v>403</v>
      </c>
      <c r="G175" s="13"/>
      <c r="H175" s="26" t="s">
        <v>408</v>
      </c>
      <c r="I175" s="24">
        <v>0</v>
      </c>
      <c r="J175" s="20" t="s">
        <v>39</v>
      </c>
      <c r="K175" s="20" t="s">
        <v>39</v>
      </c>
      <c r="L175" s="19">
        <f>725+430.33+2150</f>
        <v>3305.33</v>
      </c>
      <c r="M175" s="71"/>
    </row>
    <row r="176" spans="1:13" s="11" customFormat="1" ht="42.75" customHeight="1">
      <c r="A176" s="13">
        <v>173</v>
      </c>
      <c r="B176" s="14">
        <v>0</v>
      </c>
      <c r="C176" s="15" t="s">
        <v>14</v>
      </c>
      <c r="D176" s="16" t="s">
        <v>15</v>
      </c>
      <c r="E176" s="22" t="s">
        <v>432</v>
      </c>
      <c r="F176" s="15" t="s">
        <v>403</v>
      </c>
      <c r="G176" s="13"/>
      <c r="H176" s="26" t="s">
        <v>408</v>
      </c>
      <c r="I176" s="24">
        <v>0</v>
      </c>
      <c r="J176" s="20" t="s">
        <v>39</v>
      </c>
      <c r="K176" s="20" t="s">
        <v>39</v>
      </c>
      <c r="L176" s="19">
        <f>2702.7+864+2702.7+864+3566.7+3638.39+4345.67+90.16+800.44+956.05+409.82</f>
        <v>20940.629999999994</v>
      </c>
      <c r="M176" s="53"/>
    </row>
    <row r="177" spans="1:13" s="11" customFormat="1" ht="42.75" customHeight="1">
      <c r="A177" s="13">
        <v>174</v>
      </c>
      <c r="B177" s="14">
        <v>0</v>
      </c>
      <c r="C177" s="15" t="s">
        <v>14</v>
      </c>
      <c r="D177" s="16" t="s">
        <v>15</v>
      </c>
      <c r="E177" s="22" t="s">
        <v>433</v>
      </c>
      <c r="F177" s="15" t="s">
        <v>403</v>
      </c>
      <c r="G177" s="13"/>
      <c r="H177" s="26" t="s">
        <v>408</v>
      </c>
      <c r="I177" s="24">
        <v>0</v>
      </c>
      <c r="J177" s="20" t="s">
        <v>39</v>
      </c>
      <c r="K177" s="20" t="s">
        <v>39</v>
      </c>
      <c r="L177" s="19">
        <f>4923.68+3396.83+3405.53+1000</f>
        <v>12726.04</v>
      </c>
      <c r="M177" s="71"/>
    </row>
    <row r="178" spans="1:12" s="11" customFormat="1" ht="42.75" customHeight="1">
      <c r="A178" s="13">
        <v>175</v>
      </c>
      <c r="B178" s="14">
        <v>0</v>
      </c>
      <c r="C178" s="15" t="s">
        <v>14</v>
      </c>
      <c r="D178" s="16" t="s">
        <v>15</v>
      </c>
      <c r="E178" s="22" t="s">
        <v>434</v>
      </c>
      <c r="F178" s="15" t="s">
        <v>403</v>
      </c>
      <c r="G178" s="13"/>
      <c r="H178" s="26" t="s">
        <v>408</v>
      </c>
      <c r="I178" s="24">
        <v>0</v>
      </c>
      <c r="J178" s="20" t="s">
        <v>39</v>
      </c>
      <c r="K178" s="20" t="s">
        <v>39</v>
      </c>
      <c r="L178" s="19">
        <f>3857.19+3031.67+3063.03</f>
        <v>9951.890000000001</v>
      </c>
    </row>
    <row r="179" spans="1:12" s="11" customFormat="1" ht="42.75" customHeight="1">
      <c r="A179" s="13">
        <v>176</v>
      </c>
      <c r="B179" s="14">
        <v>0</v>
      </c>
      <c r="C179" s="15" t="s">
        <v>14</v>
      </c>
      <c r="D179" s="16" t="s">
        <v>15</v>
      </c>
      <c r="E179" s="22" t="s">
        <v>435</v>
      </c>
      <c r="F179" s="15" t="s">
        <v>403</v>
      </c>
      <c r="G179" s="13"/>
      <c r="H179" s="26" t="s">
        <v>408</v>
      </c>
      <c r="I179" s="24">
        <v>0</v>
      </c>
      <c r="J179" s="20" t="s">
        <v>39</v>
      </c>
      <c r="K179" s="20" t="s">
        <v>39</v>
      </c>
      <c r="L179" s="19">
        <v>0</v>
      </c>
    </row>
    <row r="180" spans="1:12" s="11" customFormat="1" ht="42.75" customHeight="1">
      <c r="A180" s="13">
        <v>177</v>
      </c>
      <c r="B180" s="14">
        <v>0</v>
      </c>
      <c r="C180" s="15" t="s">
        <v>14</v>
      </c>
      <c r="D180" s="16" t="s">
        <v>15</v>
      </c>
      <c r="E180" s="22" t="s">
        <v>436</v>
      </c>
      <c r="F180" s="15" t="s">
        <v>403</v>
      </c>
      <c r="G180" s="13"/>
      <c r="H180" s="26" t="s">
        <v>408</v>
      </c>
      <c r="I180" s="24">
        <v>0</v>
      </c>
      <c r="J180" s="20" t="s">
        <v>39</v>
      </c>
      <c r="K180" s="20" t="s">
        <v>39</v>
      </c>
      <c r="L180" s="19">
        <f>399.93+407.4+414.87+419.02+4582.12</f>
        <v>6223.34</v>
      </c>
    </row>
    <row r="181" spans="1:13" s="11" customFormat="1" ht="42.75" customHeight="1">
      <c r="A181" s="13">
        <v>178</v>
      </c>
      <c r="B181" s="14">
        <v>0</v>
      </c>
      <c r="C181" s="15" t="s">
        <v>14</v>
      </c>
      <c r="D181" s="16" t="s">
        <v>15</v>
      </c>
      <c r="E181" s="22" t="s">
        <v>437</v>
      </c>
      <c r="F181" s="15" t="s">
        <v>403</v>
      </c>
      <c r="G181" s="13"/>
      <c r="H181" s="26" t="s">
        <v>408</v>
      </c>
      <c r="I181" s="24">
        <v>0</v>
      </c>
      <c r="J181" s="20" t="s">
        <v>39</v>
      </c>
      <c r="K181" s="20" t="s">
        <v>39</v>
      </c>
      <c r="L181" s="19">
        <f>466.89+1060.94+102.71+4822.48+6528.85+2338.58</f>
        <v>15320.449999999999</v>
      </c>
      <c r="M181" s="53"/>
    </row>
    <row r="182" spans="1:13" s="11" customFormat="1" ht="42.75" customHeight="1">
      <c r="A182" s="13">
        <v>179</v>
      </c>
      <c r="B182" s="14">
        <v>0</v>
      </c>
      <c r="C182" s="15" t="s">
        <v>14</v>
      </c>
      <c r="D182" s="16" t="s">
        <v>15</v>
      </c>
      <c r="E182" s="22" t="s">
        <v>438</v>
      </c>
      <c r="F182" s="15" t="s">
        <v>403</v>
      </c>
      <c r="G182" s="13"/>
      <c r="H182" s="26" t="s">
        <v>408</v>
      </c>
      <c r="I182" s="24">
        <v>0</v>
      </c>
      <c r="J182" s="20" t="s">
        <v>39</v>
      </c>
      <c r="K182" s="20" t="s">
        <v>39</v>
      </c>
      <c r="L182" s="19">
        <f>5018.75+5883.42+5883.42+1824.99+499.98+1449.99+566.28+5883.42+4822.48+102.11+1060.94+464.16</f>
        <v>33459.94</v>
      </c>
      <c r="M182" s="53"/>
    </row>
    <row r="183" spans="1:13" s="11" customFormat="1" ht="42.75" customHeight="1">
      <c r="A183" s="13">
        <v>180</v>
      </c>
      <c r="B183" s="14">
        <v>0</v>
      </c>
      <c r="C183" s="15" t="s">
        <v>14</v>
      </c>
      <c r="D183" s="16" t="s">
        <v>15</v>
      </c>
      <c r="E183" s="22" t="s">
        <v>439</v>
      </c>
      <c r="F183" s="15" t="s">
        <v>403</v>
      </c>
      <c r="G183" s="13"/>
      <c r="H183" s="26" t="s">
        <v>408</v>
      </c>
      <c r="I183" s="24">
        <v>0</v>
      </c>
      <c r="J183" s="20" t="s">
        <v>39</v>
      </c>
      <c r="K183" s="20" t="s">
        <v>39</v>
      </c>
      <c r="L183" s="19">
        <f>1167+29.9+16.3+237.48+774.48+1096.5+18.3+46.1+49.5+27.02+122.79+13.52+61.48+2310.26</f>
        <v>5970.63</v>
      </c>
      <c r="M183" s="53"/>
    </row>
    <row r="184" spans="1:13" s="11" customFormat="1" ht="42.75" customHeight="1">
      <c r="A184" s="13">
        <v>181</v>
      </c>
      <c r="B184" s="14">
        <v>0</v>
      </c>
      <c r="C184" s="15" t="s">
        <v>14</v>
      </c>
      <c r="D184" s="16" t="s">
        <v>15</v>
      </c>
      <c r="E184" s="22" t="s">
        <v>440</v>
      </c>
      <c r="F184" s="15" t="s">
        <v>403</v>
      </c>
      <c r="G184" s="13"/>
      <c r="H184" s="26" t="s">
        <v>408</v>
      </c>
      <c r="I184" s="24">
        <v>0</v>
      </c>
      <c r="J184" s="20" t="s">
        <v>39</v>
      </c>
      <c r="K184" s="20" t="s">
        <v>39</v>
      </c>
      <c r="L184" s="19">
        <f>3153.48+3153.48+3153.48+15389</f>
        <v>24849.440000000002</v>
      </c>
      <c r="M184" s="71"/>
    </row>
    <row r="185" spans="1:13" s="11" customFormat="1" ht="42.75" customHeight="1">
      <c r="A185" s="13">
        <v>182</v>
      </c>
      <c r="B185" s="14">
        <v>0</v>
      </c>
      <c r="C185" s="15" t="s">
        <v>14</v>
      </c>
      <c r="D185" s="16" t="s">
        <v>15</v>
      </c>
      <c r="E185" s="22" t="s">
        <v>441</v>
      </c>
      <c r="F185" s="15" t="s">
        <v>403</v>
      </c>
      <c r="G185" s="13"/>
      <c r="H185" s="26" t="s">
        <v>408</v>
      </c>
      <c r="I185" s="24">
        <v>0</v>
      </c>
      <c r="J185" s="20" t="s">
        <v>39</v>
      </c>
      <c r="K185" s="20" t="s">
        <v>39</v>
      </c>
      <c r="L185" s="19">
        <f>400+200+2260.69+11022.73</f>
        <v>13883.42</v>
      </c>
      <c r="M185" s="71"/>
    </row>
    <row r="186" spans="1:12" s="11" customFormat="1" ht="42.75" customHeight="1">
      <c r="A186" s="13">
        <v>183</v>
      </c>
      <c r="B186" s="14">
        <v>0</v>
      </c>
      <c r="C186" s="15" t="s">
        <v>14</v>
      </c>
      <c r="D186" s="16" t="s">
        <v>15</v>
      </c>
      <c r="E186" s="22" t="s">
        <v>442</v>
      </c>
      <c r="F186" s="15" t="s">
        <v>403</v>
      </c>
      <c r="G186" s="13"/>
      <c r="H186" s="26" t="s">
        <v>408</v>
      </c>
      <c r="I186" s="24">
        <v>0</v>
      </c>
      <c r="J186" s="20" t="s">
        <v>39</v>
      </c>
      <c r="K186" s="20" t="s">
        <v>39</v>
      </c>
      <c r="L186" s="19">
        <f>1249.98+1249.98+1249.98+1249.98+1249.98</f>
        <v>6249.9</v>
      </c>
    </row>
    <row r="187" spans="1:12" s="11" customFormat="1" ht="42.75" customHeight="1">
      <c r="A187" s="13">
        <v>184</v>
      </c>
      <c r="B187" s="14">
        <v>0</v>
      </c>
      <c r="C187" s="15" t="s">
        <v>14</v>
      </c>
      <c r="D187" s="16" t="s">
        <v>15</v>
      </c>
      <c r="E187" s="22" t="s">
        <v>443</v>
      </c>
      <c r="F187" s="15" t="s">
        <v>403</v>
      </c>
      <c r="G187" s="13"/>
      <c r="H187" s="26" t="s">
        <v>408</v>
      </c>
      <c r="I187" s="24">
        <v>0</v>
      </c>
      <c r="J187" s="20" t="s">
        <v>39</v>
      </c>
      <c r="K187" s="20" t="s">
        <v>39</v>
      </c>
      <c r="L187" s="19">
        <f>174.6+174.6+99.6+75</f>
        <v>523.8</v>
      </c>
    </row>
    <row r="188" spans="1:12" s="11" customFormat="1" ht="42.75" customHeight="1">
      <c r="A188" s="13">
        <v>185</v>
      </c>
      <c r="B188" s="14">
        <v>0</v>
      </c>
      <c r="C188" s="15" t="s">
        <v>14</v>
      </c>
      <c r="D188" s="16" t="s">
        <v>15</v>
      </c>
      <c r="E188" s="22" t="s">
        <v>444</v>
      </c>
      <c r="F188" s="15" t="s">
        <v>403</v>
      </c>
      <c r="G188" s="13"/>
      <c r="H188" s="26" t="s">
        <v>408</v>
      </c>
      <c r="I188" s="24">
        <v>0</v>
      </c>
      <c r="J188" s="20" t="s">
        <v>39</v>
      </c>
      <c r="K188" s="20" t="s">
        <v>39</v>
      </c>
      <c r="L188" s="19">
        <f>1125+300+525+300+300+525+300</f>
        <v>3375</v>
      </c>
    </row>
    <row r="189" spans="1:12" s="11" customFormat="1" ht="42.75" customHeight="1">
      <c r="A189" s="13">
        <v>186</v>
      </c>
      <c r="B189" s="14">
        <v>0</v>
      </c>
      <c r="C189" s="15" t="s">
        <v>14</v>
      </c>
      <c r="D189" s="16" t="s">
        <v>15</v>
      </c>
      <c r="E189" s="22" t="s">
        <v>445</v>
      </c>
      <c r="F189" s="15" t="s">
        <v>403</v>
      </c>
      <c r="G189" s="13"/>
      <c r="H189" s="26" t="s">
        <v>408</v>
      </c>
      <c r="I189" s="24">
        <v>0</v>
      </c>
      <c r="J189" s="20" t="s">
        <v>39</v>
      </c>
      <c r="K189" s="20" t="s">
        <v>39</v>
      </c>
      <c r="L189" s="19">
        <f>393.69+137.49+232.5</f>
        <v>763.6800000000001</v>
      </c>
    </row>
    <row r="190" spans="1:12" s="11" customFormat="1" ht="42.75" customHeight="1">
      <c r="A190" s="13">
        <v>187</v>
      </c>
      <c r="B190" s="14">
        <v>0</v>
      </c>
      <c r="C190" s="15" t="s">
        <v>14</v>
      </c>
      <c r="D190" s="16" t="s">
        <v>15</v>
      </c>
      <c r="E190" s="22" t="s">
        <v>446</v>
      </c>
      <c r="F190" s="15" t="s">
        <v>403</v>
      </c>
      <c r="G190" s="13"/>
      <c r="H190" s="26" t="s">
        <v>408</v>
      </c>
      <c r="I190" s="24">
        <v>0</v>
      </c>
      <c r="J190" s="20" t="s">
        <v>39</v>
      </c>
      <c r="K190" s="20" t="s">
        <v>39</v>
      </c>
      <c r="L190" s="19">
        <f>3857.19+499.98+499.98</f>
        <v>4857.15</v>
      </c>
    </row>
    <row r="191" spans="1:13" s="11" customFormat="1" ht="42.75" customHeight="1">
      <c r="A191" s="13">
        <v>188</v>
      </c>
      <c r="B191" s="14">
        <v>0</v>
      </c>
      <c r="C191" s="15" t="s">
        <v>14</v>
      </c>
      <c r="D191" s="16" t="s">
        <v>15</v>
      </c>
      <c r="E191" s="22" t="s">
        <v>447</v>
      </c>
      <c r="F191" s="15" t="s">
        <v>403</v>
      </c>
      <c r="G191" s="13"/>
      <c r="H191" s="26" t="s">
        <v>408</v>
      </c>
      <c r="I191" s="24">
        <v>0</v>
      </c>
      <c r="J191" s="20" t="s">
        <v>39</v>
      </c>
      <c r="K191" s="20" t="s">
        <v>39</v>
      </c>
      <c r="L191" s="19">
        <f>156.24+156.24+10333.9</f>
        <v>10646.38</v>
      </c>
      <c r="M191" s="53"/>
    </row>
    <row r="192" spans="1:12" s="11" customFormat="1" ht="42.75" customHeight="1">
      <c r="A192" s="13">
        <v>189</v>
      </c>
      <c r="B192" s="14">
        <v>0</v>
      </c>
      <c r="C192" s="15" t="s">
        <v>14</v>
      </c>
      <c r="D192" s="16" t="s">
        <v>15</v>
      </c>
      <c r="E192" s="22" t="s">
        <v>448</v>
      </c>
      <c r="F192" s="15" t="s">
        <v>403</v>
      </c>
      <c r="G192" s="13"/>
      <c r="H192" s="26" t="s">
        <v>408</v>
      </c>
      <c r="I192" s="24">
        <v>0</v>
      </c>
      <c r="J192" s="20" t="s">
        <v>39</v>
      </c>
      <c r="K192" s="20" t="s">
        <v>39</v>
      </c>
      <c r="L192" s="19">
        <f>249.99+249.99</f>
        <v>499.98</v>
      </c>
    </row>
    <row r="193" spans="1:13" s="11" customFormat="1" ht="42.75" customHeight="1">
      <c r="A193" s="13">
        <v>190</v>
      </c>
      <c r="B193" s="14">
        <v>0</v>
      </c>
      <c r="C193" s="15" t="s">
        <v>14</v>
      </c>
      <c r="D193" s="16" t="s">
        <v>15</v>
      </c>
      <c r="E193" s="22" t="s">
        <v>449</v>
      </c>
      <c r="F193" s="15" t="s">
        <v>403</v>
      </c>
      <c r="G193" s="13"/>
      <c r="H193" s="26" t="s">
        <v>408</v>
      </c>
      <c r="I193" s="24">
        <v>0</v>
      </c>
      <c r="J193" s="20" t="s">
        <v>39</v>
      </c>
      <c r="K193" s="20" t="s">
        <v>39</v>
      </c>
      <c r="L193" s="19">
        <f>1000+450+465+477+429.1+81.96+112.43</f>
        <v>3015.49</v>
      </c>
      <c r="M193" s="53"/>
    </row>
    <row r="194" spans="1:12" s="11" customFormat="1" ht="42.75" customHeight="1">
      <c r="A194" s="13">
        <v>191</v>
      </c>
      <c r="B194" s="14">
        <v>0</v>
      </c>
      <c r="C194" s="15" t="s">
        <v>14</v>
      </c>
      <c r="D194" s="16" t="s">
        <v>15</v>
      </c>
      <c r="E194" s="22" t="s">
        <v>450</v>
      </c>
      <c r="F194" s="15" t="s">
        <v>403</v>
      </c>
      <c r="G194" s="13"/>
      <c r="H194" s="26" t="s">
        <v>408</v>
      </c>
      <c r="I194" s="24">
        <v>0</v>
      </c>
      <c r="J194" s="20" t="s">
        <v>39</v>
      </c>
      <c r="K194" s="20" t="s">
        <v>39</v>
      </c>
      <c r="L194" s="19">
        <v>0</v>
      </c>
    </row>
    <row r="195" spans="1:12" s="11" customFormat="1" ht="42.75" customHeight="1">
      <c r="A195" s="13">
        <v>192</v>
      </c>
      <c r="B195" s="14">
        <v>0</v>
      </c>
      <c r="C195" s="15" t="s">
        <v>14</v>
      </c>
      <c r="D195" s="16" t="s">
        <v>15</v>
      </c>
      <c r="E195" s="22" t="s">
        <v>451</v>
      </c>
      <c r="F195" s="15" t="s">
        <v>403</v>
      </c>
      <c r="G195" s="13"/>
      <c r="H195" s="26" t="s">
        <v>408</v>
      </c>
      <c r="I195" s="24">
        <v>0</v>
      </c>
      <c r="J195" s="20" t="s">
        <v>39</v>
      </c>
      <c r="K195" s="20" t="s">
        <v>39</v>
      </c>
      <c r="L195" s="19">
        <v>300</v>
      </c>
    </row>
    <row r="196" spans="1:13" s="11" customFormat="1" ht="42.75" customHeight="1">
      <c r="A196" s="13">
        <v>193</v>
      </c>
      <c r="B196" s="14">
        <v>0</v>
      </c>
      <c r="C196" s="15" t="s">
        <v>14</v>
      </c>
      <c r="D196" s="16" t="s">
        <v>15</v>
      </c>
      <c r="E196" s="22" t="s">
        <v>452</v>
      </c>
      <c r="F196" s="15" t="s">
        <v>403</v>
      </c>
      <c r="G196" s="13"/>
      <c r="H196" s="26" t="s">
        <v>408</v>
      </c>
      <c r="I196" s="24">
        <v>0</v>
      </c>
      <c r="J196" s="20" t="s">
        <v>39</v>
      </c>
      <c r="K196" s="20" t="s">
        <v>39</v>
      </c>
      <c r="L196" s="19">
        <f>525+525+525+525+2580.51+9908.18+5271.19</f>
        <v>19859.88</v>
      </c>
      <c r="M196" s="53"/>
    </row>
    <row r="197" spans="1:13" s="11" customFormat="1" ht="42.75" customHeight="1">
      <c r="A197" s="13">
        <v>194</v>
      </c>
      <c r="B197" s="14">
        <v>0</v>
      </c>
      <c r="C197" s="15" t="s">
        <v>14</v>
      </c>
      <c r="D197" s="16" t="s">
        <v>15</v>
      </c>
      <c r="E197" s="22" t="s">
        <v>453</v>
      </c>
      <c r="F197" s="15" t="s">
        <v>403</v>
      </c>
      <c r="G197" s="13"/>
      <c r="H197" s="26" t="s">
        <v>408</v>
      </c>
      <c r="I197" s="24">
        <v>0</v>
      </c>
      <c r="J197" s="20" t="s">
        <v>39</v>
      </c>
      <c r="K197" s="20" t="s">
        <v>39</v>
      </c>
      <c r="L197" s="19">
        <f>928.14+615.62+945.87+1088.77+439.36+358.55+166.67+519.97+462.07+461.57+575.22+449.12+498.75+121.48+571.46+109.72+2597.54+463.66+115.25+495.09+102.01+2250.41+330.43+72.7+524.86+2385.74+14137.2+9154.69+19415.58+22037.35</f>
        <v>82394.85</v>
      </c>
      <c r="M197" s="71"/>
    </row>
    <row r="198" spans="1:12" s="11" customFormat="1" ht="42.75" customHeight="1">
      <c r="A198" s="13">
        <v>195</v>
      </c>
      <c r="B198" s="14">
        <v>0</v>
      </c>
      <c r="C198" s="15" t="s">
        <v>14</v>
      </c>
      <c r="D198" s="16" t="s">
        <v>15</v>
      </c>
      <c r="E198" s="22" t="s">
        <v>454</v>
      </c>
      <c r="F198" s="15" t="s">
        <v>403</v>
      </c>
      <c r="G198" s="13"/>
      <c r="H198" s="26" t="s">
        <v>408</v>
      </c>
      <c r="I198" s="24">
        <v>0</v>
      </c>
      <c r="J198" s="20" t="s">
        <v>39</v>
      </c>
      <c r="K198" s="20" t="s">
        <v>39</v>
      </c>
      <c r="L198" s="19">
        <v>0</v>
      </c>
    </row>
    <row r="199" spans="1:12" s="11" customFormat="1" ht="42.75" customHeight="1">
      <c r="A199" s="13">
        <v>196</v>
      </c>
      <c r="B199" s="14">
        <v>0</v>
      </c>
      <c r="C199" s="15" t="s">
        <v>14</v>
      </c>
      <c r="D199" s="16" t="s">
        <v>15</v>
      </c>
      <c r="E199" s="22" t="s">
        <v>455</v>
      </c>
      <c r="F199" s="15" t="s">
        <v>403</v>
      </c>
      <c r="G199" s="13"/>
      <c r="H199" s="26" t="s">
        <v>408</v>
      </c>
      <c r="I199" s="24">
        <v>0</v>
      </c>
      <c r="J199" s="20" t="s">
        <v>39</v>
      </c>
      <c r="K199" s="20" t="s">
        <v>39</v>
      </c>
      <c r="L199" s="19">
        <v>0</v>
      </c>
    </row>
    <row r="200" spans="1:13" s="11" customFormat="1" ht="42.75" customHeight="1">
      <c r="A200" s="13">
        <v>197</v>
      </c>
      <c r="B200" s="14">
        <v>0</v>
      </c>
      <c r="C200" s="15" t="s">
        <v>14</v>
      </c>
      <c r="D200" s="16" t="s">
        <v>15</v>
      </c>
      <c r="E200" s="22" t="s">
        <v>456</v>
      </c>
      <c r="F200" s="15" t="s">
        <v>403</v>
      </c>
      <c r="G200" s="13"/>
      <c r="H200" s="26" t="s">
        <v>408</v>
      </c>
      <c r="I200" s="24">
        <v>0</v>
      </c>
      <c r="J200" s="20" t="s">
        <v>39</v>
      </c>
      <c r="K200" s="20" t="s">
        <v>39</v>
      </c>
      <c r="L200" s="19">
        <f>393.69+48.69+48.69+740+48.69+418.68+446.19+375+1313.4+656.7+1200+500+1648.56+1200+801.18</f>
        <v>9839.470000000001</v>
      </c>
      <c r="M200" s="71"/>
    </row>
    <row r="201" spans="1:13" s="11" customFormat="1" ht="42.75" customHeight="1">
      <c r="A201" s="13">
        <v>198</v>
      </c>
      <c r="B201" s="14">
        <v>0</v>
      </c>
      <c r="C201" s="15" t="s">
        <v>14</v>
      </c>
      <c r="D201" s="16" t="s">
        <v>15</v>
      </c>
      <c r="E201" s="22" t="s">
        <v>457</v>
      </c>
      <c r="F201" s="15" t="s">
        <v>403</v>
      </c>
      <c r="G201" s="13"/>
      <c r="H201" s="26" t="s">
        <v>408</v>
      </c>
      <c r="I201" s="24">
        <v>0</v>
      </c>
      <c r="J201" s="20" t="s">
        <v>39</v>
      </c>
      <c r="K201" s="20" t="s">
        <v>39</v>
      </c>
      <c r="L201" s="19">
        <f>205.5+37.06+168.44+37.06+168.44+710.82+822</f>
        <v>2149.32</v>
      </c>
      <c r="M201" s="71"/>
    </row>
    <row r="202" spans="1:13" s="6" customFormat="1" ht="42.75" customHeight="1">
      <c r="A202" s="13">
        <v>199</v>
      </c>
      <c r="B202" s="35">
        <v>0</v>
      </c>
      <c r="C202" s="15" t="s">
        <v>14</v>
      </c>
      <c r="D202" s="16" t="s">
        <v>15</v>
      </c>
      <c r="E202" s="33" t="s">
        <v>458</v>
      </c>
      <c r="F202" s="15" t="s">
        <v>403</v>
      </c>
      <c r="G202" s="42"/>
      <c r="H202" s="26" t="s">
        <v>408</v>
      </c>
      <c r="I202" s="24">
        <v>0</v>
      </c>
      <c r="J202" s="20" t="s">
        <v>39</v>
      </c>
      <c r="K202" s="32">
        <v>41359</v>
      </c>
      <c r="L202" s="19">
        <v>1445</v>
      </c>
      <c r="M202" s="71"/>
    </row>
    <row r="203" spans="1:13" s="6" customFormat="1" ht="42.75" customHeight="1">
      <c r="A203" s="13">
        <v>200</v>
      </c>
      <c r="B203" s="35">
        <v>0</v>
      </c>
      <c r="C203" s="15" t="s">
        <v>14</v>
      </c>
      <c r="D203" s="16" t="s">
        <v>15</v>
      </c>
      <c r="E203" s="33" t="s">
        <v>459</v>
      </c>
      <c r="F203" s="15" t="s">
        <v>403</v>
      </c>
      <c r="G203" s="42"/>
      <c r="H203" s="26" t="s">
        <v>408</v>
      </c>
      <c r="I203" s="24">
        <v>0</v>
      </c>
      <c r="J203" s="20" t="s">
        <v>39</v>
      </c>
      <c r="K203" s="20" t="s">
        <v>39</v>
      </c>
      <c r="L203" s="19">
        <f>300+300+100+300+300+300+66+300+66+300+1200+1200</f>
        <v>4732</v>
      </c>
      <c r="M203" s="71"/>
    </row>
    <row r="204" spans="1:13" s="6" customFormat="1" ht="42.75" customHeight="1">
      <c r="A204" s="13">
        <v>201</v>
      </c>
      <c r="B204" s="35">
        <v>0</v>
      </c>
      <c r="C204" s="15" t="s">
        <v>14</v>
      </c>
      <c r="D204" s="16" t="s">
        <v>15</v>
      </c>
      <c r="E204" s="33" t="s">
        <v>460</v>
      </c>
      <c r="F204" s="15" t="s">
        <v>403</v>
      </c>
      <c r="G204" s="42"/>
      <c r="H204" s="26" t="s">
        <v>408</v>
      </c>
      <c r="I204" s="31">
        <f>27250/1.21</f>
        <v>22520.661157024795</v>
      </c>
      <c r="J204" s="20" t="s">
        <v>39</v>
      </c>
      <c r="K204" s="32">
        <v>41305</v>
      </c>
      <c r="L204" s="19">
        <f>22500+819.67</f>
        <v>23319.67</v>
      </c>
      <c r="M204" s="53"/>
    </row>
    <row r="205" spans="1:13" s="6" customFormat="1" ht="42.75" customHeight="1">
      <c r="A205" s="13">
        <v>202</v>
      </c>
      <c r="B205" s="14">
        <v>0</v>
      </c>
      <c r="C205" s="15" t="s">
        <v>14</v>
      </c>
      <c r="D205" s="16" t="s">
        <v>15</v>
      </c>
      <c r="E205" s="22" t="s">
        <v>461</v>
      </c>
      <c r="F205" s="15" t="s">
        <v>403</v>
      </c>
      <c r="G205" s="13"/>
      <c r="H205" s="26" t="s">
        <v>408</v>
      </c>
      <c r="I205" s="31">
        <v>0</v>
      </c>
      <c r="J205" s="20" t="s">
        <v>39</v>
      </c>
      <c r="K205" s="20" t="s">
        <v>39</v>
      </c>
      <c r="L205" s="19">
        <f>1600+1600+1000+1600+144.26+655.74+144.26+655.74+655.74+1184.43+323.77</f>
        <v>9563.94</v>
      </c>
      <c r="M205" s="53"/>
    </row>
    <row r="206" spans="1:13" s="6" customFormat="1" ht="42.75" customHeight="1">
      <c r="A206" s="13">
        <v>203</v>
      </c>
      <c r="B206" s="35">
        <v>0</v>
      </c>
      <c r="C206" s="15" t="s">
        <v>14</v>
      </c>
      <c r="D206" s="16" t="s">
        <v>15</v>
      </c>
      <c r="E206" s="33" t="s">
        <v>462</v>
      </c>
      <c r="F206" s="15" t="s">
        <v>403</v>
      </c>
      <c r="G206" s="42"/>
      <c r="H206" s="26" t="s">
        <v>408</v>
      </c>
      <c r="I206" s="31">
        <v>0</v>
      </c>
      <c r="J206" s="20" t="s">
        <v>39</v>
      </c>
      <c r="K206" s="20" t="s">
        <v>39</v>
      </c>
      <c r="L206" s="19">
        <f>4923.68+4940.04+4908.39+1500+450+525.33+1999.92+262.66+87.56+425.46+70.91+93.6+46.8+15.6+212.73+172.43+57.48+344.84+12.65+37.93+75.87+2293.51+2890.15</f>
        <v>26347.54</v>
      </c>
      <c r="M206" s="71"/>
    </row>
    <row r="207" spans="1:12" s="6" customFormat="1" ht="42.75" customHeight="1">
      <c r="A207" s="13">
        <v>204</v>
      </c>
      <c r="B207" s="35">
        <v>0</v>
      </c>
      <c r="C207" s="15" t="s">
        <v>14</v>
      </c>
      <c r="D207" s="16" t="s">
        <v>15</v>
      </c>
      <c r="E207" s="33" t="s">
        <v>463</v>
      </c>
      <c r="F207" s="15" t="s">
        <v>403</v>
      </c>
      <c r="G207" s="42"/>
      <c r="H207" s="26" t="s">
        <v>408</v>
      </c>
      <c r="I207" s="31">
        <v>0</v>
      </c>
      <c r="J207" s="20" t="s">
        <v>39</v>
      </c>
      <c r="K207" s="20" t="s">
        <v>39</v>
      </c>
      <c r="L207" s="19">
        <f>205.5+205.5+205.5+205.5</f>
        <v>822</v>
      </c>
    </row>
    <row r="208" spans="1:12" s="6" customFormat="1" ht="42.75" customHeight="1">
      <c r="A208" s="13">
        <v>205</v>
      </c>
      <c r="B208" s="35">
        <v>0</v>
      </c>
      <c r="C208" s="15" t="s">
        <v>14</v>
      </c>
      <c r="D208" s="16" t="s">
        <v>15</v>
      </c>
      <c r="E208" s="33" t="s">
        <v>464</v>
      </c>
      <c r="F208" s="15" t="s">
        <v>403</v>
      </c>
      <c r="G208" s="42"/>
      <c r="H208" s="26" t="s">
        <v>408</v>
      </c>
      <c r="I208" s="31">
        <v>0</v>
      </c>
      <c r="J208" s="20" t="s">
        <v>39</v>
      </c>
      <c r="K208" s="20" t="s">
        <v>39</v>
      </c>
      <c r="L208" s="19">
        <v>1500</v>
      </c>
    </row>
    <row r="209" spans="1:12" s="6" customFormat="1" ht="42.75" customHeight="1">
      <c r="A209" s="13">
        <v>206</v>
      </c>
      <c r="B209" s="35">
        <v>0</v>
      </c>
      <c r="C209" s="15" t="s">
        <v>14</v>
      </c>
      <c r="D209" s="16" t="s">
        <v>15</v>
      </c>
      <c r="E209" s="33" t="s">
        <v>465</v>
      </c>
      <c r="F209" s="15" t="s">
        <v>403</v>
      </c>
      <c r="G209" s="42"/>
      <c r="H209" s="26" t="s">
        <v>408</v>
      </c>
      <c r="I209" s="31">
        <v>0</v>
      </c>
      <c r="J209" s="20" t="s">
        <v>39</v>
      </c>
      <c r="K209" s="32">
        <v>41383</v>
      </c>
      <c r="L209" s="19">
        <f>300+500+300+300+200+300</f>
        <v>1900</v>
      </c>
    </row>
    <row r="210" spans="1:13" s="6" customFormat="1" ht="42.75" customHeight="1">
      <c r="A210" s="13">
        <v>207</v>
      </c>
      <c r="B210" s="35">
        <v>0</v>
      </c>
      <c r="C210" s="15" t="s">
        <v>14</v>
      </c>
      <c r="D210" s="16" t="s">
        <v>15</v>
      </c>
      <c r="E210" s="33" t="s">
        <v>466</v>
      </c>
      <c r="F210" s="15" t="s">
        <v>403</v>
      </c>
      <c r="G210" s="42"/>
      <c r="H210" s="26" t="s">
        <v>408</v>
      </c>
      <c r="I210" s="31">
        <v>0</v>
      </c>
      <c r="J210" s="20" t="s">
        <v>39</v>
      </c>
      <c r="K210" s="32">
        <v>41411</v>
      </c>
      <c r="L210" s="19">
        <f>325+49.59+225.41</f>
        <v>600</v>
      </c>
      <c r="M210" s="53"/>
    </row>
    <row r="211" spans="1:13" s="6" customFormat="1" ht="42.75" customHeight="1">
      <c r="A211" s="13">
        <v>208</v>
      </c>
      <c r="B211" s="35">
        <v>0</v>
      </c>
      <c r="C211" s="15" t="s">
        <v>14</v>
      </c>
      <c r="D211" s="16" t="s">
        <v>15</v>
      </c>
      <c r="E211" s="33" t="s">
        <v>467</v>
      </c>
      <c r="F211" s="15" t="s">
        <v>403</v>
      </c>
      <c r="G211" s="42"/>
      <c r="H211" s="26" t="s">
        <v>408</v>
      </c>
      <c r="I211" s="31">
        <v>0</v>
      </c>
      <c r="J211" s="20" t="s">
        <v>39</v>
      </c>
      <c r="K211" s="32">
        <v>41305</v>
      </c>
      <c r="L211" s="19">
        <f>13550+1869+1953+1631+1141+2149+1498+1424.59+6475.41+108.2+491.8+11680.33+102.46+2049.18+16500+261.5+4613.5</f>
        <v>67497.97</v>
      </c>
      <c r="M211" s="71"/>
    </row>
    <row r="212" spans="1:13" s="6" customFormat="1" ht="42.75" customHeight="1">
      <c r="A212" s="13">
        <v>209</v>
      </c>
      <c r="B212" s="35">
        <v>0</v>
      </c>
      <c r="C212" s="15" t="s">
        <v>14</v>
      </c>
      <c r="D212" s="16" t="s">
        <v>15</v>
      </c>
      <c r="E212" s="33" t="s">
        <v>468</v>
      </c>
      <c r="F212" s="15" t="s">
        <v>403</v>
      </c>
      <c r="G212" s="42"/>
      <c r="H212" s="26" t="s">
        <v>408</v>
      </c>
      <c r="I212" s="31">
        <v>0</v>
      </c>
      <c r="J212" s="20" t="s">
        <v>39</v>
      </c>
      <c r="K212" s="20" t="s">
        <v>39</v>
      </c>
      <c r="L212" s="19">
        <f>600+732</f>
        <v>1332</v>
      </c>
      <c r="M212" s="53"/>
    </row>
    <row r="213" spans="1:13" s="6" customFormat="1" ht="42.75" customHeight="1">
      <c r="A213" s="13">
        <v>210</v>
      </c>
      <c r="B213" s="35">
        <v>0</v>
      </c>
      <c r="C213" s="15" t="s">
        <v>14</v>
      </c>
      <c r="D213" s="16" t="s">
        <v>15</v>
      </c>
      <c r="E213" s="65" t="s">
        <v>469</v>
      </c>
      <c r="F213" s="15" t="s">
        <v>403</v>
      </c>
      <c r="G213" s="42"/>
      <c r="H213" s="26" t="s">
        <v>408</v>
      </c>
      <c r="I213" s="31">
        <v>0</v>
      </c>
      <c r="J213" s="20" t="s">
        <v>39</v>
      </c>
      <c r="K213" s="20" t="s">
        <v>39</v>
      </c>
      <c r="L213" s="19">
        <f>2450+1250+91+98+63+70+126+2450+4450+350+3676.33+5389.12+4582+566</f>
        <v>25611.45</v>
      </c>
      <c r="M213" s="71"/>
    </row>
    <row r="214" spans="1:13" s="6" customFormat="1" ht="42.75" customHeight="1">
      <c r="A214" s="13">
        <v>211</v>
      </c>
      <c r="B214" s="35">
        <v>0</v>
      </c>
      <c r="C214" s="15" t="s">
        <v>14</v>
      </c>
      <c r="D214" s="63" t="s">
        <v>15</v>
      </c>
      <c r="E214" s="67" t="s">
        <v>470</v>
      </c>
      <c r="F214" s="64" t="s">
        <v>403</v>
      </c>
      <c r="G214" s="42"/>
      <c r="H214" s="26" t="s">
        <v>408</v>
      </c>
      <c r="I214" s="31">
        <v>0</v>
      </c>
      <c r="J214" s="20" t="s">
        <v>39</v>
      </c>
      <c r="K214" s="20" t="s">
        <v>39</v>
      </c>
      <c r="L214" s="19">
        <f>120.99+199.98+896.99+599.49+81.96+108.38+410.66+416.8+81.96+109.73+2562.63+5296.48</f>
        <v>10886.05</v>
      </c>
      <c r="M214" s="71"/>
    </row>
    <row r="215" spans="1:12" s="11" customFormat="1" ht="42.75" customHeight="1">
      <c r="A215" s="13">
        <v>212</v>
      </c>
      <c r="B215" s="14">
        <v>0</v>
      </c>
      <c r="C215" s="15" t="s">
        <v>14</v>
      </c>
      <c r="D215" s="16" t="s">
        <v>15</v>
      </c>
      <c r="E215" s="66" t="s">
        <v>471</v>
      </c>
      <c r="F215" s="15" t="s">
        <v>403</v>
      </c>
      <c r="G215" s="13"/>
      <c r="H215" s="26" t="s">
        <v>408</v>
      </c>
      <c r="I215" s="31">
        <v>0</v>
      </c>
      <c r="J215" s="20" t="s">
        <v>39</v>
      </c>
      <c r="K215" s="20" t="s">
        <v>39</v>
      </c>
      <c r="L215" s="19">
        <f>48+12</f>
        <v>60</v>
      </c>
    </row>
    <row r="216" spans="1:13" s="6" customFormat="1" ht="42.75" customHeight="1">
      <c r="A216" s="13">
        <v>213</v>
      </c>
      <c r="B216" s="35">
        <v>0</v>
      </c>
      <c r="C216" s="15" t="s">
        <v>14</v>
      </c>
      <c r="D216" s="16" t="s">
        <v>15</v>
      </c>
      <c r="E216" s="33" t="s">
        <v>472</v>
      </c>
      <c r="F216" s="15" t="s">
        <v>403</v>
      </c>
      <c r="G216" s="42"/>
      <c r="H216" s="26" t="s">
        <v>473</v>
      </c>
      <c r="I216" s="31">
        <v>0</v>
      </c>
      <c r="J216" s="20" t="s">
        <v>39</v>
      </c>
      <c r="K216" s="20" t="s">
        <v>39</v>
      </c>
      <c r="L216" s="19">
        <f>1750+1970</f>
        <v>3720</v>
      </c>
      <c r="M216" s="71"/>
    </row>
    <row r="217" spans="1:12" s="6" customFormat="1" ht="42.75" customHeight="1">
      <c r="A217" s="13">
        <v>214</v>
      </c>
      <c r="B217" s="35">
        <v>0</v>
      </c>
      <c r="C217" s="15" t="s">
        <v>14</v>
      </c>
      <c r="D217" s="16" t="s">
        <v>15</v>
      </c>
      <c r="E217" s="33" t="s">
        <v>474</v>
      </c>
      <c r="F217" s="15" t="s">
        <v>403</v>
      </c>
      <c r="G217" s="42"/>
      <c r="H217" s="26" t="s">
        <v>473</v>
      </c>
      <c r="I217" s="31">
        <v>0</v>
      </c>
      <c r="J217" s="20" t="s">
        <v>39</v>
      </c>
      <c r="K217" s="20" t="s">
        <v>39</v>
      </c>
      <c r="L217" s="19">
        <v>666</v>
      </c>
    </row>
    <row r="218" spans="1:13" s="6" customFormat="1" ht="42.75" customHeight="1">
      <c r="A218" s="13">
        <v>215</v>
      </c>
      <c r="B218" s="35">
        <v>0</v>
      </c>
      <c r="C218" s="15" t="s">
        <v>14</v>
      </c>
      <c r="D218" s="16" t="s">
        <v>15</v>
      </c>
      <c r="E218" s="33" t="s">
        <v>475</v>
      </c>
      <c r="F218" s="15" t="s">
        <v>403</v>
      </c>
      <c r="G218" s="42"/>
      <c r="H218" s="26" t="s">
        <v>473</v>
      </c>
      <c r="I218" s="31">
        <v>0</v>
      </c>
      <c r="J218" s="20" t="s">
        <v>39</v>
      </c>
      <c r="K218" s="20" t="s">
        <v>39</v>
      </c>
      <c r="L218" s="19">
        <f>3500+499.98+499.98+34631.62</f>
        <v>39131.58</v>
      </c>
      <c r="M218" s="53"/>
    </row>
    <row r="219" spans="1:12" s="6" customFormat="1" ht="42.75" customHeight="1">
      <c r="A219" s="13">
        <v>216</v>
      </c>
      <c r="B219" s="35">
        <v>0</v>
      </c>
      <c r="C219" s="15" t="s">
        <v>14</v>
      </c>
      <c r="D219" s="16" t="s">
        <v>15</v>
      </c>
      <c r="E219" s="33" t="s">
        <v>476</v>
      </c>
      <c r="F219" s="15" t="s">
        <v>403</v>
      </c>
      <c r="G219" s="42"/>
      <c r="H219" s="26" t="s">
        <v>473</v>
      </c>
      <c r="I219" s="31">
        <v>0</v>
      </c>
      <c r="J219" s="20" t="s">
        <v>39</v>
      </c>
      <c r="K219" s="20" t="s">
        <v>39</v>
      </c>
      <c r="L219" s="19">
        <f>609+606</f>
        <v>1215</v>
      </c>
    </row>
    <row r="220" spans="1:13" s="6" customFormat="1" ht="42.75" customHeight="1">
      <c r="A220" s="13">
        <v>217</v>
      </c>
      <c r="B220" s="35">
        <v>0</v>
      </c>
      <c r="C220" s="15" t="s">
        <v>14</v>
      </c>
      <c r="D220" s="16" t="s">
        <v>15</v>
      </c>
      <c r="E220" s="33" t="s">
        <v>477</v>
      </c>
      <c r="F220" s="15" t="s">
        <v>403</v>
      </c>
      <c r="G220" s="42"/>
      <c r="H220" s="26" t="s">
        <v>473</v>
      </c>
      <c r="I220" s="31">
        <v>0</v>
      </c>
      <c r="J220" s="20" t="s">
        <v>39</v>
      </c>
      <c r="K220" s="20" t="s">
        <v>39</v>
      </c>
      <c r="L220" s="19">
        <f>570+499.98+499.98+3.42+2313.07+1156.53+385.51+1670.9+835.45+61.27+367.6+183.8+278.48+245.8+324.44+162.22+737.37+54.07+1474.74+540.98+2459.02+3278.69+721.31+2459.02+11933.3</f>
        <v>33216.95</v>
      </c>
      <c r="M220" s="71"/>
    </row>
    <row r="221" spans="1:12" s="6" customFormat="1" ht="42.75" customHeight="1">
      <c r="A221" s="13">
        <v>218</v>
      </c>
      <c r="B221" s="35">
        <v>0</v>
      </c>
      <c r="C221" s="15" t="s">
        <v>14</v>
      </c>
      <c r="D221" s="16" t="s">
        <v>15</v>
      </c>
      <c r="E221" s="33" t="s">
        <v>478</v>
      </c>
      <c r="F221" s="15" t="s">
        <v>403</v>
      </c>
      <c r="G221" s="42"/>
      <c r="H221" s="26" t="s">
        <v>473</v>
      </c>
      <c r="I221" s="31">
        <v>0</v>
      </c>
      <c r="J221" s="20" t="s">
        <v>39</v>
      </c>
      <c r="K221" s="20" t="s">
        <v>39</v>
      </c>
      <c r="L221" s="19">
        <f>999.99+999.99</f>
        <v>1999.98</v>
      </c>
    </row>
    <row r="222" spans="1:13" s="6" customFormat="1" ht="42.75" customHeight="1">
      <c r="A222" s="13">
        <v>219</v>
      </c>
      <c r="B222" s="35">
        <v>0</v>
      </c>
      <c r="C222" s="15" t="s">
        <v>14</v>
      </c>
      <c r="D222" s="16" t="s">
        <v>15</v>
      </c>
      <c r="E222" s="33" t="s">
        <v>479</v>
      </c>
      <c r="F222" s="15" t="s">
        <v>403</v>
      </c>
      <c r="G222" s="42"/>
      <c r="H222" s="26" t="s">
        <v>473</v>
      </c>
      <c r="I222" s="31">
        <v>0</v>
      </c>
      <c r="J222" s="20" t="s">
        <v>39</v>
      </c>
      <c r="K222" s="20" t="s">
        <v>39</v>
      </c>
      <c r="L222" s="19">
        <f>22.5+9+157.38+430.33+485.28+34.62+94.67+2205.8+46.72+2168.48+477.07+94.67+10.28+430.66</f>
        <v>6667.459999999999</v>
      </c>
      <c r="M222" s="53"/>
    </row>
    <row r="223" spans="1:12" s="6" customFormat="1" ht="42.75" customHeight="1">
      <c r="A223" s="13">
        <v>220</v>
      </c>
      <c r="B223" s="14">
        <v>0</v>
      </c>
      <c r="C223" s="15" t="s">
        <v>14</v>
      </c>
      <c r="D223" s="16" t="s">
        <v>15</v>
      </c>
      <c r="E223" s="21" t="s">
        <v>480</v>
      </c>
      <c r="F223" s="15" t="s">
        <v>403</v>
      </c>
      <c r="G223" s="28"/>
      <c r="H223" s="17" t="s">
        <v>481</v>
      </c>
      <c r="I223" s="31">
        <v>19998.21</v>
      </c>
      <c r="J223" s="20">
        <v>41023</v>
      </c>
      <c r="K223" s="20">
        <v>41274</v>
      </c>
      <c r="L223" s="19">
        <v>9916.47</v>
      </c>
    </row>
    <row r="224" spans="1:12" s="6" customFormat="1" ht="42.75" customHeight="1">
      <c r="A224" s="13">
        <v>221</v>
      </c>
      <c r="B224" s="14">
        <v>0</v>
      </c>
      <c r="C224" s="15" t="s">
        <v>14</v>
      </c>
      <c r="D224" s="16" t="s">
        <v>15</v>
      </c>
      <c r="E224" s="21" t="s">
        <v>482</v>
      </c>
      <c r="F224" s="15" t="s">
        <v>403</v>
      </c>
      <c r="G224" s="28"/>
      <c r="H224" s="17" t="s">
        <v>481</v>
      </c>
      <c r="I224" s="31">
        <v>19998.21</v>
      </c>
      <c r="J224" s="20">
        <v>41368</v>
      </c>
      <c r="K224" s="32">
        <v>41639</v>
      </c>
      <c r="L224" s="19">
        <f>7999.28+7999.28+3948.25</f>
        <v>19946.809999999998</v>
      </c>
    </row>
    <row r="225" spans="1:12" s="6" customFormat="1" ht="42.75" customHeight="1">
      <c r="A225" s="13">
        <v>222</v>
      </c>
      <c r="B225" s="35">
        <v>0</v>
      </c>
      <c r="C225" s="15" t="s">
        <v>14</v>
      </c>
      <c r="D225" s="16" t="s">
        <v>15</v>
      </c>
      <c r="E225" s="33" t="s">
        <v>483</v>
      </c>
      <c r="F225" s="15" t="s">
        <v>403</v>
      </c>
      <c r="G225" s="42"/>
      <c r="H225" s="26" t="s">
        <v>484</v>
      </c>
      <c r="I225" s="31">
        <v>2950</v>
      </c>
      <c r="J225" s="20">
        <v>41474</v>
      </c>
      <c r="K225" s="32">
        <v>41639</v>
      </c>
      <c r="L225" s="19">
        <v>2950</v>
      </c>
    </row>
    <row r="226" spans="1:12" s="6" customFormat="1" ht="42.75" customHeight="1">
      <c r="A226" s="13">
        <v>223</v>
      </c>
      <c r="B226" s="35">
        <v>0</v>
      </c>
      <c r="C226" s="15" t="s">
        <v>14</v>
      </c>
      <c r="D226" s="16" t="s">
        <v>15</v>
      </c>
      <c r="E226" s="33" t="s">
        <v>485</v>
      </c>
      <c r="F226" s="15" t="s">
        <v>403</v>
      </c>
      <c r="G226" s="42"/>
      <c r="H226" s="26" t="s">
        <v>484</v>
      </c>
      <c r="I226" s="31">
        <v>7550</v>
      </c>
      <c r="J226" s="20">
        <v>41474</v>
      </c>
      <c r="K226" s="32">
        <v>41639</v>
      </c>
      <c r="L226" s="19">
        <f>1950+5600</f>
        <v>7550</v>
      </c>
    </row>
    <row r="227" spans="1:12" s="6" customFormat="1" ht="42.75" customHeight="1">
      <c r="A227" s="13">
        <v>224</v>
      </c>
      <c r="B227" s="35">
        <v>0</v>
      </c>
      <c r="C227" s="15" t="s">
        <v>14</v>
      </c>
      <c r="D227" s="16" t="s">
        <v>15</v>
      </c>
      <c r="E227" s="33" t="s">
        <v>486</v>
      </c>
      <c r="F227" s="15" t="s">
        <v>403</v>
      </c>
      <c r="G227" s="42"/>
      <c r="H227" s="26" t="s">
        <v>484</v>
      </c>
      <c r="I227" s="31">
        <v>1541.32</v>
      </c>
      <c r="J227" s="20">
        <v>41275</v>
      </c>
      <c r="K227" s="20">
        <v>41639</v>
      </c>
      <c r="L227" s="19">
        <v>1541.32</v>
      </c>
    </row>
    <row r="228" spans="1:13" s="11" customFormat="1" ht="42.75" customHeight="1">
      <c r="A228" s="13">
        <v>225</v>
      </c>
      <c r="B228" s="14">
        <v>0</v>
      </c>
      <c r="C228" s="15" t="s">
        <v>14</v>
      </c>
      <c r="D228" s="16" t="s">
        <v>15</v>
      </c>
      <c r="E228" s="21" t="s">
        <v>487</v>
      </c>
      <c r="F228" s="15" t="s">
        <v>403</v>
      </c>
      <c r="G228" s="13"/>
      <c r="H228" s="17" t="s">
        <v>488</v>
      </c>
      <c r="I228" s="19">
        <f>10093*48</f>
        <v>484464</v>
      </c>
      <c r="J228" s="20">
        <v>40544</v>
      </c>
      <c r="K228" s="20">
        <v>42004</v>
      </c>
      <c r="L228" s="19">
        <f>33365.29+20186+20186+18532.91+20186+20186+20186+20186+61994.75</f>
        <v>235008.95</v>
      </c>
      <c r="M228" s="53"/>
    </row>
    <row r="229" spans="1:13" s="6" customFormat="1" ht="42.75" customHeight="1">
      <c r="A229" s="13">
        <v>226</v>
      </c>
      <c r="B229" s="35">
        <v>0</v>
      </c>
      <c r="C229" s="15" t="s">
        <v>14</v>
      </c>
      <c r="D229" s="16" t="s">
        <v>15</v>
      </c>
      <c r="E229" s="33" t="s">
        <v>489</v>
      </c>
      <c r="F229" s="15" t="s">
        <v>403</v>
      </c>
      <c r="G229" s="42"/>
      <c r="H229" s="26" t="s">
        <v>490</v>
      </c>
      <c r="I229" s="31">
        <v>2500</v>
      </c>
      <c r="J229" s="20">
        <v>41640</v>
      </c>
      <c r="K229" s="32">
        <v>42004</v>
      </c>
      <c r="L229" s="19">
        <v>2500</v>
      </c>
      <c r="M229" s="53"/>
    </row>
    <row r="230" spans="1:12" s="44" customFormat="1" ht="42.75" customHeight="1">
      <c r="A230" s="13">
        <v>227</v>
      </c>
      <c r="B230" s="14">
        <v>0</v>
      </c>
      <c r="C230" s="15" t="s">
        <v>14</v>
      </c>
      <c r="D230" s="16" t="s">
        <v>15</v>
      </c>
      <c r="E230" s="22" t="s">
        <v>491</v>
      </c>
      <c r="F230" s="15" t="s">
        <v>403</v>
      </c>
      <c r="G230" s="13"/>
      <c r="H230" s="26" t="s">
        <v>408</v>
      </c>
      <c r="I230" s="31">
        <v>5360</v>
      </c>
      <c r="J230" s="20">
        <v>41550</v>
      </c>
      <c r="K230" s="20">
        <v>41578</v>
      </c>
      <c r="L230" s="19">
        <v>2400</v>
      </c>
    </row>
    <row r="231" spans="1:12" s="44" customFormat="1" ht="42.75" customHeight="1">
      <c r="A231" s="13">
        <v>228</v>
      </c>
      <c r="B231" s="14">
        <v>0</v>
      </c>
      <c r="C231" s="15" t="s">
        <v>14</v>
      </c>
      <c r="D231" s="16" t="s">
        <v>15</v>
      </c>
      <c r="E231" s="22" t="s">
        <v>492</v>
      </c>
      <c r="F231" s="15" t="s">
        <v>403</v>
      </c>
      <c r="G231" s="13"/>
      <c r="H231" s="26" t="s">
        <v>408</v>
      </c>
      <c r="I231" s="31">
        <v>2000</v>
      </c>
      <c r="J231" s="20">
        <v>41541</v>
      </c>
      <c r="K231" s="20">
        <v>41660</v>
      </c>
      <c r="L231" s="19">
        <v>2000</v>
      </c>
    </row>
    <row r="232" spans="1:12" ht="43.5" customHeight="1">
      <c r="A232" s="13">
        <v>229</v>
      </c>
      <c r="B232" s="35" t="s">
        <v>493</v>
      </c>
      <c r="C232" s="15" t="s">
        <v>14</v>
      </c>
      <c r="D232" s="16" t="s">
        <v>15</v>
      </c>
      <c r="E232" s="37" t="s">
        <v>494</v>
      </c>
      <c r="F232" s="15" t="s">
        <v>29</v>
      </c>
      <c r="G232" s="45"/>
      <c r="H232" s="37" t="s">
        <v>495</v>
      </c>
      <c r="I232" s="31">
        <v>412.95</v>
      </c>
      <c r="J232" s="32">
        <v>41737</v>
      </c>
      <c r="K232" s="32">
        <v>41759</v>
      </c>
      <c r="L232" s="38">
        <v>412.95</v>
      </c>
    </row>
    <row r="233" spans="1:13" ht="43.5" customHeight="1">
      <c r="A233" s="13">
        <v>230</v>
      </c>
      <c r="B233" s="35" t="s">
        <v>496</v>
      </c>
      <c r="C233" s="15" t="s">
        <v>14</v>
      </c>
      <c r="D233" s="16" t="s">
        <v>15</v>
      </c>
      <c r="E233" s="37" t="s">
        <v>497</v>
      </c>
      <c r="F233" s="15" t="s">
        <v>29</v>
      </c>
      <c r="G233" s="45"/>
      <c r="H233" s="37" t="s">
        <v>289</v>
      </c>
      <c r="I233" s="31">
        <v>140</v>
      </c>
      <c r="J233" s="32">
        <v>41774</v>
      </c>
      <c r="K233" s="32">
        <v>41806</v>
      </c>
      <c r="L233" s="38">
        <v>210</v>
      </c>
      <c r="M233" s="53"/>
    </row>
    <row r="234" spans="1:12" ht="43.5" customHeight="1">
      <c r="A234" s="13">
        <v>231</v>
      </c>
      <c r="B234" s="35" t="s">
        <v>498</v>
      </c>
      <c r="C234" s="15" t="s">
        <v>14</v>
      </c>
      <c r="D234" s="16" t="s">
        <v>15</v>
      </c>
      <c r="E234" s="37" t="s">
        <v>499</v>
      </c>
      <c r="F234" s="15" t="s">
        <v>29</v>
      </c>
      <c r="G234" s="45"/>
      <c r="H234" s="37" t="s">
        <v>54</v>
      </c>
      <c r="I234" s="31">
        <v>345</v>
      </c>
      <c r="J234" s="32">
        <v>41810</v>
      </c>
      <c r="K234" s="32">
        <v>41851</v>
      </c>
      <c r="L234" s="38">
        <v>0</v>
      </c>
    </row>
    <row r="235" spans="1:12" ht="43.5" customHeight="1">
      <c r="A235" s="13">
        <v>232</v>
      </c>
      <c r="B235" s="35" t="s">
        <v>500</v>
      </c>
      <c r="C235" s="15" t="s">
        <v>14</v>
      </c>
      <c r="D235" s="16" t="s">
        <v>15</v>
      </c>
      <c r="E235" s="37" t="s">
        <v>501</v>
      </c>
      <c r="F235" s="15" t="s">
        <v>245</v>
      </c>
      <c r="G235" s="33" t="s">
        <v>246</v>
      </c>
      <c r="H235" s="37" t="s">
        <v>247</v>
      </c>
      <c r="I235" s="31">
        <v>724.12</v>
      </c>
      <c r="J235" s="32">
        <v>41687</v>
      </c>
      <c r="K235" s="32">
        <v>41715</v>
      </c>
      <c r="L235" s="38">
        <v>724.12</v>
      </c>
    </row>
    <row r="236" spans="1:13" ht="43.5" customHeight="1">
      <c r="A236" s="13">
        <v>233</v>
      </c>
      <c r="B236" s="35" t="s">
        <v>502</v>
      </c>
      <c r="C236" s="15" t="s">
        <v>14</v>
      </c>
      <c r="D236" s="16" t="s">
        <v>15</v>
      </c>
      <c r="E236" s="37" t="s">
        <v>232</v>
      </c>
      <c r="F236" s="15" t="s">
        <v>29</v>
      </c>
      <c r="G236" s="45"/>
      <c r="H236" s="62" t="s">
        <v>233</v>
      </c>
      <c r="I236" s="31">
        <v>453</v>
      </c>
      <c r="J236" s="32">
        <v>41667</v>
      </c>
      <c r="K236" s="32">
        <v>41685</v>
      </c>
      <c r="L236" s="38">
        <f>453+470</f>
        <v>923</v>
      </c>
      <c r="M236" s="53"/>
    </row>
    <row r="237" spans="1:13" ht="43.5" customHeight="1">
      <c r="A237" s="13">
        <v>234</v>
      </c>
      <c r="B237" s="35" t="s">
        <v>503</v>
      </c>
      <c r="C237" s="15" t="s">
        <v>14</v>
      </c>
      <c r="D237" s="16" t="s">
        <v>15</v>
      </c>
      <c r="E237" s="37" t="s">
        <v>266</v>
      </c>
      <c r="F237" s="15" t="s">
        <v>29</v>
      </c>
      <c r="G237" s="45"/>
      <c r="H237" s="37" t="s">
        <v>504</v>
      </c>
      <c r="I237" s="31">
        <v>2050</v>
      </c>
      <c r="J237" s="32">
        <v>41718</v>
      </c>
      <c r="K237" s="32">
        <v>41822</v>
      </c>
      <c r="L237" s="38">
        <f>1025+184.84+840.16</f>
        <v>2050</v>
      </c>
      <c r="M237" s="53"/>
    </row>
    <row r="238" spans="1:12" ht="43.5" customHeight="1">
      <c r="A238" s="13">
        <v>235</v>
      </c>
      <c r="B238" s="35" t="s">
        <v>505</v>
      </c>
      <c r="C238" s="15" t="s">
        <v>14</v>
      </c>
      <c r="D238" s="16" t="s">
        <v>15</v>
      </c>
      <c r="E238" s="37" t="s">
        <v>506</v>
      </c>
      <c r="F238" s="15" t="s">
        <v>245</v>
      </c>
      <c r="G238" s="33" t="s">
        <v>507</v>
      </c>
      <c r="H238" s="37" t="s">
        <v>508</v>
      </c>
      <c r="I238" s="31">
        <v>560</v>
      </c>
      <c r="J238" s="32">
        <v>41688</v>
      </c>
      <c r="K238" s="32">
        <v>41708</v>
      </c>
      <c r="L238" s="38">
        <v>560</v>
      </c>
    </row>
    <row r="239" spans="1:13" ht="43.5" customHeight="1">
      <c r="A239" s="13">
        <v>236</v>
      </c>
      <c r="B239" s="35" t="s">
        <v>509</v>
      </c>
      <c r="C239" s="15" t="s">
        <v>14</v>
      </c>
      <c r="D239" s="16" t="s">
        <v>15</v>
      </c>
      <c r="E239" s="37" t="s">
        <v>510</v>
      </c>
      <c r="F239" s="15" t="s">
        <v>29</v>
      </c>
      <c r="G239" s="45"/>
      <c r="H239" s="37" t="s">
        <v>343</v>
      </c>
      <c r="I239" s="31">
        <v>504</v>
      </c>
      <c r="J239" s="32">
        <v>41793</v>
      </c>
      <c r="K239" s="32">
        <v>41820</v>
      </c>
      <c r="L239" s="38">
        <v>504</v>
      </c>
      <c r="M239" s="53"/>
    </row>
    <row r="240" spans="1:13" ht="172.5" customHeight="1">
      <c r="A240" s="13">
        <v>237</v>
      </c>
      <c r="B240" s="35" t="s">
        <v>511</v>
      </c>
      <c r="C240" s="15" t="s">
        <v>14</v>
      </c>
      <c r="D240" s="16" t="s">
        <v>15</v>
      </c>
      <c r="E240" s="37" t="s">
        <v>512</v>
      </c>
      <c r="F240" s="15" t="s">
        <v>245</v>
      </c>
      <c r="G240" s="33" t="s">
        <v>513</v>
      </c>
      <c r="H240" s="37" t="s">
        <v>514</v>
      </c>
      <c r="I240" s="31">
        <v>2240</v>
      </c>
      <c r="J240" s="32">
        <v>41694</v>
      </c>
      <c r="K240" s="32">
        <v>41912</v>
      </c>
      <c r="L240" s="38">
        <f>1120+1120</f>
        <v>2240</v>
      </c>
      <c r="M240" s="53"/>
    </row>
    <row r="241" spans="1:12" ht="43.5" customHeight="1">
      <c r="A241" s="13">
        <v>238</v>
      </c>
      <c r="B241" s="35" t="s">
        <v>515</v>
      </c>
      <c r="C241" s="15" t="s">
        <v>14</v>
      </c>
      <c r="D241" s="16" t="s">
        <v>15</v>
      </c>
      <c r="E241" s="37" t="s">
        <v>516</v>
      </c>
      <c r="F241" s="15" t="s">
        <v>245</v>
      </c>
      <c r="G241" s="33" t="s">
        <v>517</v>
      </c>
      <c r="H241" s="37" t="s">
        <v>225</v>
      </c>
      <c r="I241" s="31">
        <v>200</v>
      </c>
      <c r="J241" s="32">
        <v>41687</v>
      </c>
      <c r="K241" s="32">
        <v>41708</v>
      </c>
      <c r="L241" s="38">
        <v>200</v>
      </c>
    </row>
    <row r="242" spans="1:13" ht="43.5" customHeight="1">
      <c r="A242" s="13">
        <v>239</v>
      </c>
      <c r="B242" s="35" t="s">
        <v>518</v>
      </c>
      <c r="C242" s="15" t="s">
        <v>14</v>
      </c>
      <c r="D242" s="16" t="s">
        <v>15</v>
      </c>
      <c r="E242" s="37" t="s">
        <v>519</v>
      </c>
      <c r="F242" s="15" t="s">
        <v>57</v>
      </c>
      <c r="G242" s="45"/>
      <c r="H242" s="37" t="s">
        <v>520</v>
      </c>
      <c r="I242" s="31">
        <v>0</v>
      </c>
      <c r="J242" s="32">
        <v>41730</v>
      </c>
      <c r="K242" s="32">
        <v>42094</v>
      </c>
      <c r="L242" s="38">
        <f>58+853.94+20082.59</f>
        <v>20994.53</v>
      </c>
      <c r="M242" s="53"/>
    </row>
    <row r="243" spans="1:13" s="6" customFormat="1" ht="43.5" customHeight="1">
      <c r="A243" s="13">
        <v>240</v>
      </c>
      <c r="B243" s="35" t="s">
        <v>521</v>
      </c>
      <c r="C243" s="15" t="s">
        <v>14</v>
      </c>
      <c r="D243" s="16" t="s">
        <v>15</v>
      </c>
      <c r="E243" s="37" t="s">
        <v>522</v>
      </c>
      <c r="F243" s="15" t="s">
        <v>57</v>
      </c>
      <c r="G243" s="45"/>
      <c r="H243" s="37" t="s">
        <v>211</v>
      </c>
      <c r="I243" s="31">
        <v>0</v>
      </c>
      <c r="J243" s="32">
        <v>41733</v>
      </c>
      <c r="K243" s="32">
        <v>43137</v>
      </c>
      <c r="L243" s="38">
        <f>7963.93+801.14+12165.16+1018.02+8365.59</f>
        <v>30313.84</v>
      </c>
      <c r="M243" s="71"/>
    </row>
    <row r="244" spans="1:13" ht="43.5" customHeight="1">
      <c r="A244" s="13">
        <v>241</v>
      </c>
      <c r="B244" s="35" t="s">
        <v>523</v>
      </c>
      <c r="C244" s="15" t="s">
        <v>14</v>
      </c>
      <c r="D244" s="16" t="s">
        <v>15</v>
      </c>
      <c r="E244" s="37" t="s">
        <v>524</v>
      </c>
      <c r="F244" s="15" t="s">
        <v>29</v>
      </c>
      <c r="G244" s="45"/>
      <c r="H244" s="37" t="s">
        <v>150</v>
      </c>
      <c r="I244" s="31">
        <v>5050</v>
      </c>
      <c r="J244" s="32">
        <v>41687</v>
      </c>
      <c r="K244" s="32">
        <v>42735</v>
      </c>
      <c r="L244" s="38">
        <f>1690+2790+1680</f>
        <v>6160</v>
      </c>
      <c r="M244" s="71"/>
    </row>
    <row r="245" spans="1:13" ht="43.5" customHeight="1">
      <c r="A245" s="13">
        <v>242</v>
      </c>
      <c r="B245" s="35" t="s">
        <v>525</v>
      </c>
      <c r="C245" s="15" t="s">
        <v>14</v>
      </c>
      <c r="D245" s="16" t="s">
        <v>15</v>
      </c>
      <c r="E245" s="37" t="s">
        <v>526</v>
      </c>
      <c r="F245" s="15" t="s">
        <v>29</v>
      </c>
      <c r="G245" s="45"/>
      <c r="H245" s="37" t="s">
        <v>150</v>
      </c>
      <c r="I245" s="31">
        <v>6150</v>
      </c>
      <c r="J245" s="32">
        <v>42005</v>
      </c>
      <c r="K245" s="32">
        <v>43100</v>
      </c>
      <c r="L245" s="38">
        <v>1393.44</v>
      </c>
      <c r="M245" s="53"/>
    </row>
    <row r="246" spans="1:13" ht="43.5" customHeight="1">
      <c r="A246" s="13">
        <v>243</v>
      </c>
      <c r="B246" s="35" t="s">
        <v>527</v>
      </c>
      <c r="C246" s="15" t="s">
        <v>14</v>
      </c>
      <c r="D246" s="16" t="s">
        <v>15</v>
      </c>
      <c r="E246" s="37" t="s">
        <v>528</v>
      </c>
      <c r="F246" s="15" t="s">
        <v>29</v>
      </c>
      <c r="G246" s="45"/>
      <c r="H246" s="37" t="s">
        <v>153</v>
      </c>
      <c r="I246" s="31">
        <v>8073</v>
      </c>
      <c r="J246" s="32">
        <v>41687</v>
      </c>
      <c r="K246" s="32">
        <v>42735</v>
      </c>
      <c r="L246" s="38">
        <f>1345.5+1345.5+1102.87+4036.5</f>
        <v>7830.37</v>
      </c>
      <c r="M246" s="71"/>
    </row>
    <row r="247" spans="1:12" ht="43.5" customHeight="1">
      <c r="A247" s="13">
        <v>244</v>
      </c>
      <c r="B247" s="35" t="s">
        <v>529</v>
      </c>
      <c r="C247" s="15" t="s">
        <v>14</v>
      </c>
      <c r="D247" s="16" t="s">
        <v>15</v>
      </c>
      <c r="E247" s="37" t="s">
        <v>530</v>
      </c>
      <c r="F247" s="15" t="s">
        <v>29</v>
      </c>
      <c r="G247" s="45"/>
      <c r="H247" s="37" t="s">
        <v>253</v>
      </c>
      <c r="I247" s="31">
        <v>2868.85</v>
      </c>
      <c r="J247" s="32">
        <v>41753</v>
      </c>
      <c r="K247" s="32">
        <v>42004</v>
      </c>
      <c r="L247" s="38">
        <v>0</v>
      </c>
    </row>
    <row r="248" spans="1:13" s="6" customFormat="1" ht="43.5" customHeight="1">
      <c r="A248" s="13">
        <v>245</v>
      </c>
      <c r="B248" s="14">
        <v>0</v>
      </c>
      <c r="C248" s="15" t="s">
        <v>14</v>
      </c>
      <c r="D248" s="16" t="s">
        <v>15</v>
      </c>
      <c r="E248" s="37" t="s">
        <v>531</v>
      </c>
      <c r="F248" s="15" t="s">
        <v>403</v>
      </c>
      <c r="G248" s="45"/>
      <c r="H248" s="37" t="s">
        <v>481</v>
      </c>
      <c r="I248" s="31">
        <v>16195</v>
      </c>
      <c r="J248" s="32">
        <v>41773</v>
      </c>
      <c r="K248" s="32">
        <v>42004</v>
      </c>
      <c r="L248" s="38">
        <f>6478+1168.16+5309.84</f>
        <v>12956</v>
      </c>
      <c r="M248" s="53"/>
    </row>
    <row r="249" spans="1:13" ht="43.5" customHeight="1">
      <c r="A249" s="13">
        <v>246</v>
      </c>
      <c r="B249" s="35" t="s">
        <v>532</v>
      </c>
      <c r="C249" s="15" t="s">
        <v>14</v>
      </c>
      <c r="D249" s="16" t="s">
        <v>15</v>
      </c>
      <c r="E249" s="37" t="s">
        <v>533</v>
      </c>
      <c r="F249" s="15" t="s">
        <v>29</v>
      </c>
      <c r="G249" s="45"/>
      <c r="H249" s="37" t="s">
        <v>169</v>
      </c>
      <c r="I249" s="31">
        <v>3500</v>
      </c>
      <c r="J249" s="32">
        <v>41780</v>
      </c>
      <c r="K249" s="32">
        <v>42369</v>
      </c>
      <c r="L249" s="31">
        <v>3500</v>
      </c>
      <c r="M249" s="53"/>
    </row>
    <row r="250" spans="1:13" ht="43.5" customHeight="1">
      <c r="A250" s="13">
        <v>247</v>
      </c>
      <c r="B250" s="35" t="s">
        <v>534</v>
      </c>
      <c r="C250" s="15" t="s">
        <v>14</v>
      </c>
      <c r="D250" s="16" t="s">
        <v>15</v>
      </c>
      <c r="E250" s="37" t="s">
        <v>535</v>
      </c>
      <c r="F250" s="15" t="s">
        <v>29</v>
      </c>
      <c r="G250" s="45"/>
      <c r="H250" s="37" t="s">
        <v>307</v>
      </c>
      <c r="I250" s="31">
        <v>400</v>
      </c>
      <c r="J250" s="32">
        <v>41796</v>
      </c>
      <c r="K250" s="32">
        <v>41820</v>
      </c>
      <c r="L250" s="38">
        <v>400</v>
      </c>
      <c r="M250" s="53"/>
    </row>
    <row r="251" spans="1:13" ht="43.5" customHeight="1">
      <c r="A251" s="13">
        <v>248</v>
      </c>
      <c r="B251" s="35" t="s">
        <v>536</v>
      </c>
      <c r="C251" s="15" t="s">
        <v>14</v>
      </c>
      <c r="D251" s="16" t="s">
        <v>15</v>
      </c>
      <c r="E251" s="37" t="s">
        <v>537</v>
      </c>
      <c r="F251" s="15" t="s">
        <v>29</v>
      </c>
      <c r="G251" s="45"/>
      <c r="H251" s="37" t="s">
        <v>538</v>
      </c>
      <c r="I251" s="31">
        <v>2000</v>
      </c>
      <c r="J251" s="32">
        <v>41793</v>
      </c>
      <c r="K251" s="32">
        <v>41820</v>
      </c>
      <c r="L251" s="38">
        <v>2000</v>
      </c>
      <c r="M251" s="53"/>
    </row>
    <row r="252" spans="1:13" ht="43.5" customHeight="1">
      <c r="A252" s="13">
        <v>249</v>
      </c>
      <c r="B252" s="35" t="s">
        <v>539</v>
      </c>
      <c r="C252" s="15" t="s">
        <v>14</v>
      </c>
      <c r="D252" s="16" t="s">
        <v>15</v>
      </c>
      <c r="E252" s="37" t="s">
        <v>540</v>
      </c>
      <c r="F252" s="15" t="s">
        <v>29</v>
      </c>
      <c r="G252" s="45"/>
      <c r="H252" s="37" t="s">
        <v>253</v>
      </c>
      <c r="I252" s="31">
        <v>300</v>
      </c>
      <c r="J252" s="32">
        <v>41793</v>
      </c>
      <c r="K252" s="32">
        <v>41820</v>
      </c>
      <c r="L252" s="38">
        <v>300</v>
      </c>
      <c r="M252" s="53"/>
    </row>
    <row r="253" spans="1:13" ht="43.5" customHeight="1">
      <c r="A253" s="13">
        <v>250</v>
      </c>
      <c r="B253" s="35" t="s">
        <v>541</v>
      </c>
      <c r="C253" s="15" t="s">
        <v>14</v>
      </c>
      <c r="D253" s="16" t="s">
        <v>15</v>
      </c>
      <c r="E253" s="37" t="s">
        <v>542</v>
      </c>
      <c r="F253" s="15" t="s">
        <v>29</v>
      </c>
      <c r="G253" s="45"/>
      <c r="H253" s="62" t="s">
        <v>277</v>
      </c>
      <c r="I253" s="31">
        <v>18000</v>
      </c>
      <c r="J253" s="32">
        <v>41725</v>
      </c>
      <c r="K253" s="32">
        <v>42124</v>
      </c>
      <c r="L253" s="38">
        <f>370.65+6131.64</f>
        <v>6502.29</v>
      </c>
      <c r="M253" s="53"/>
    </row>
    <row r="254" spans="1:12" s="6" customFormat="1" ht="43.5" customHeight="1">
      <c r="A254" s="13">
        <v>251</v>
      </c>
      <c r="B254" s="35" t="s">
        <v>543</v>
      </c>
      <c r="C254" s="15" t="s">
        <v>14</v>
      </c>
      <c r="D254" s="16" t="s">
        <v>15</v>
      </c>
      <c r="E254" s="37" t="s">
        <v>544</v>
      </c>
      <c r="F254" s="15" t="s">
        <v>29</v>
      </c>
      <c r="G254" s="45"/>
      <c r="H254" s="37" t="s">
        <v>545</v>
      </c>
      <c r="I254" s="31">
        <v>400</v>
      </c>
      <c r="J254" s="32">
        <v>41618</v>
      </c>
      <c r="K254" s="32">
        <v>41618</v>
      </c>
      <c r="L254" s="38">
        <v>400</v>
      </c>
    </row>
    <row r="255" spans="1:12" s="6" customFormat="1" ht="43.5" customHeight="1">
      <c r="A255" s="13">
        <v>252</v>
      </c>
      <c r="B255" s="35" t="s">
        <v>546</v>
      </c>
      <c r="C255" s="15" t="s">
        <v>14</v>
      </c>
      <c r="D255" s="16" t="s">
        <v>15</v>
      </c>
      <c r="E255" s="37" t="s">
        <v>547</v>
      </c>
      <c r="F255" s="15" t="s">
        <v>29</v>
      </c>
      <c r="G255" s="45"/>
      <c r="H255" s="43" t="s">
        <v>548</v>
      </c>
      <c r="I255" s="31">
        <v>0</v>
      </c>
      <c r="J255" s="39">
        <v>41569</v>
      </c>
      <c r="K255" s="39" t="s">
        <v>549</v>
      </c>
      <c r="L255" s="38">
        <f>41.5+41.5+83+41.5</f>
        <v>207.5</v>
      </c>
    </row>
    <row r="256" spans="1:13" s="11" customFormat="1" ht="42.75" customHeight="1">
      <c r="A256" s="13">
        <v>253</v>
      </c>
      <c r="B256" s="14" t="s">
        <v>550</v>
      </c>
      <c r="C256" s="15" t="s">
        <v>14</v>
      </c>
      <c r="D256" s="16" t="s">
        <v>15</v>
      </c>
      <c r="E256" s="21" t="s">
        <v>551</v>
      </c>
      <c r="F256" s="15" t="s">
        <v>29</v>
      </c>
      <c r="G256" s="13"/>
      <c r="H256" s="17" t="s">
        <v>30</v>
      </c>
      <c r="I256" s="19">
        <f>2110.5*3</f>
        <v>6331.5</v>
      </c>
      <c r="J256" s="20">
        <v>41639</v>
      </c>
      <c r="K256" s="20">
        <v>42735</v>
      </c>
      <c r="L256" s="19">
        <f>2110.5+2110.5</f>
        <v>4221</v>
      </c>
      <c r="M256" s="71"/>
    </row>
    <row r="257" spans="1:12" s="11" customFormat="1" ht="42.75" customHeight="1">
      <c r="A257" s="13">
        <v>254</v>
      </c>
      <c r="B257" s="14" t="s">
        <v>552</v>
      </c>
      <c r="C257" s="15" t="s">
        <v>14</v>
      </c>
      <c r="D257" s="16" t="s">
        <v>15</v>
      </c>
      <c r="E257" s="21" t="s">
        <v>553</v>
      </c>
      <c r="F257" s="15" t="s">
        <v>29</v>
      </c>
      <c r="G257" s="13"/>
      <c r="H257" s="17" t="s">
        <v>30</v>
      </c>
      <c r="I257" s="19">
        <v>1300</v>
      </c>
      <c r="J257" s="20">
        <v>41734</v>
      </c>
      <c r="K257" s="20">
        <v>42099</v>
      </c>
      <c r="L257" s="19">
        <v>1300</v>
      </c>
    </row>
    <row r="258" spans="1:12" s="44" customFormat="1" ht="43.5" customHeight="1">
      <c r="A258" s="13">
        <v>255</v>
      </c>
      <c r="B258" s="14">
        <v>0</v>
      </c>
      <c r="C258" s="15" t="s">
        <v>14</v>
      </c>
      <c r="D258" s="16" t="s">
        <v>15</v>
      </c>
      <c r="E258" s="33" t="s">
        <v>554</v>
      </c>
      <c r="F258" s="15" t="s">
        <v>29</v>
      </c>
      <c r="G258" s="42"/>
      <c r="H258" s="62" t="s">
        <v>555</v>
      </c>
      <c r="I258" s="31">
        <v>105</v>
      </c>
      <c r="J258" s="46">
        <v>41603</v>
      </c>
      <c r="K258" s="32">
        <v>41670</v>
      </c>
      <c r="L258" s="38">
        <v>105</v>
      </c>
    </row>
    <row r="259" spans="1:13" s="44" customFormat="1" ht="43.5" customHeight="1">
      <c r="A259" s="13">
        <v>256</v>
      </c>
      <c r="B259" s="14">
        <v>0</v>
      </c>
      <c r="C259" s="15" t="s">
        <v>14</v>
      </c>
      <c r="D259" s="16" t="s">
        <v>15</v>
      </c>
      <c r="E259" s="33" t="s">
        <v>556</v>
      </c>
      <c r="F259" s="15" t="s">
        <v>403</v>
      </c>
      <c r="G259" s="42"/>
      <c r="H259" s="62" t="s">
        <v>557</v>
      </c>
      <c r="I259" s="31">
        <v>2900</v>
      </c>
      <c r="J259" s="39">
        <v>41667</v>
      </c>
      <c r="K259" s="39">
        <v>41729</v>
      </c>
      <c r="L259" s="38">
        <f>350+350+1401.64+308.36+2295.08+232.8</f>
        <v>4937.88</v>
      </c>
      <c r="M259" s="53"/>
    </row>
    <row r="260" spans="1:12" s="44" customFormat="1" ht="43.5" customHeight="1">
      <c r="A260" s="13">
        <v>257</v>
      </c>
      <c r="B260" s="35" t="s">
        <v>558</v>
      </c>
      <c r="C260" s="15" t="s">
        <v>14</v>
      </c>
      <c r="D260" s="16" t="s">
        <v>15</v>
      </c>
      <c r="E260" s="33" t="s">
        <v>559</v>
      </c>
      <c r="F260" s="15" t="s">
        <v>29</v>
      </c>
      <c r="G260" s="42"/>
      <c r="H260" s="37" t="s">
        <v>560</v>
      </c>
      <c r="I260" s="31">
        <v>150</v>
      </c>
      <c r="J260" s="39">
        <v>41705</v>
      </c>
      <c r="K260" s="32">
        <v>41705</v>
      </c>
      <c r="L260" s="38">
        <v>150</v>
      </c>
    </row>
    <row r="261" spans="1:62" s="12" customFormat="1" ht="42.75" customHeight="1">
      <c r="A261" s="13">
        <v>258</v>
      </c>
      <c r="B261" s="14">
        <v>0</v>
      </c>
      <c r="C261" s="15" t="s">
        <v>14</v>
      </c>
      <c r="D261" s="16" t="s">
        <v>15</v>
      </c>
      <c r="E261" s="22" t="s">
        <v>41</v>
      </c>
      <c r="F261" s="15" t="s">
        <v>403</v>
      </c>
      <c r="G261" s="13"/>
      <c r="H261" s="26" t="s">
        <v>42</v>
      </c>
      <c r="I261" s="24">
        <v>0</v>
      </c>
      <c r="J261" s="20">
        <v>41640</v>
      </c>
      <c r="K261" s="20" t="s">
        <v>39</v>
      </c>
      <c r="L261" s="19">
        <f>5094+3361.28+6380.05</f>
        <v>14835.330000000002</v>
      </c>
      <c r="M261" s="53"/>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row>
    <row r="262" spans="1:62" s="12" customFormat="1" ht="42.75" customHeight="1">
      <c r="A262" s="13">
        <v>259</v>
      </c>
      <c r="B262" s="14" t="s">
        <v>579</v>
      </c>
      <c r="C262" s="15" t="s">
        <v>14</v>
      </c>
      <c r="D262" s="16" t="s">
        <v>15</v>
      </c>
      <c r="E262" s="22" t="s">
        <v>580</v>
      </c>
      <c r="F262" s="15" t="s">
        <v>29</v>
      </c>
      <c r="G262" s="13"/>
      <c r="H262" s="26" t="s">
        <v>581</v>
      </c>
      <c r="I262" s="24">
        <v>903</v>
      </c>
      <c r="J262" s="20">
        <v>41824</v>
      </c>
      <c r="K262" s="20">
        <v>41851</v>
      </c>
      <c r="L262" s="19">
        <v>903</v>
      </c>
      <c r="M262" s="53"/>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row>
    <row r="263" spans="1:62" s="12" customFormat="1" ht="42.75" customHeight="1">
      <c r="A263" s="13">
        <v>260</v>
      </c>
      <c r="B263" s="14" t="s">
        <v>582</v>
      </c>
      <c r="C263" s="15" t="s">
        <v>14</v>
      </c>
      <c r="D263" s="16" t="s">
        <v>15</v>
      </c>
      <c r="E263" s="22" t="s">
        <v>583</v>
      </c>
      <c r="F263" s="15" t="s">
        <v>29</v>
      </c>
      <c r="G263" s="13"/>
      <c r="H263" s="26" t="s">
        <v>584</v>
      </c>
      <c r="I263" s="24">
        <v>24585</v>
      </c>
      <c r="J263" s="20">
        <v>41842</v>
      </c>
      <c r="K263" s="20">
        <v>42004</v>
      </c>
      <c r="L263" s="19">
        <f>9834</f>
        <v>9834</v>
      </c>
      <c r="M263" s="53"/>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row>
    <row r="264" spans="1:62" s="12" customFormat="1" ht="42.75" customHeight="1">
      <c r="A264" s="13">
        <v>261</v>
      </c>
      <c r="B264" s="14" t="s">
        <v>585</v>
      </c>
      <c r="C264" s="15" t="s">
        <v>14</v>
      </c>
      <c r="D264" s="16" t="s">
        <v>15</v>
      </c>
      <c r="E264" s="22" t="s">
        <v>586</v>
      </c>
      <c r="F264" s="15" t="s">
        <v>29</v>
      </c>
      <c r="G264" s="13"/>
      <c r="H264" s="26" t="s">
        <v>587</v>
      </c>
      <c r="I264" s="24">
        <v>915</v>
      </c>
      <c r="J264" s="20">
        <v>41883</v>
      </c>
      <c r="K264" s="20">
        <v>42247</v>
      </c>
      <c r="L264" s="19">
        <f>195+304.92+95.9+66</f>
        <v>661.82</v>
      </c>
      <c r="M264" s="7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row>
    <row r="265" spans="1:62" s="12" customFormat="1" ht="42.75" customHeight="1">
      <c r="A265" s="13">
        <v>262</v>
      </c>
      <c r="B265" s="14" t="s">
        <v>588</v>
      </c>
      <c r="C265" s="15" t="s">
        <v>14</v>
      </c>
      <c r="D265" s="16" t="s">
        <v>15</v>
      </c>
      <c r="E265" s="22" t="s">
        <v>589</v>
      </c>
      <c r="F265" s="15" t="s">
        <v>29</v>
      </c>
      <c r="G265" s="13"/>
      <c r="H265" s="26" t="s">
        <v>587</v>
      </c>
      <c r="I265" s="24">
        <v>384</v>
      </c>
      <c r="J265" s="20">
        <v>41883</v>
      </c>
      <c r="K265" s="20">
        <v>42247</v>
      </c>
      <c r="L265" s="19">
        <v>0</v>
      </c>
      <c r="M265" s="53"/>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row>
    <row r="266" spans="1:62" s="12" customFormat="1" ht="42.75" customHeight="1">
      <c r="A266" s="13">
        <v>263</v>
      </c>
      <c r="B266" s="14" t="s">
        <v>590</v>
      </c>
      <c r="C266" s="15" t="s">
        <v>14</v>
      </c>
      <c r="D266" s="16" t="s">
        <v>15</v>
      </c>
      <c r="E266" s="22" t="s">
        <v>591</v>
      </c>
      <c r="F266" s="15" t="s">
        <v>29</v>
      </c>
      <c r="G266" s="13"/>
      <c r="H266" s="26" t="s">
        <v>592</v>
      </c>
      <c r="I266" s="24">
        <v>39590</v>
      </c>
      <c r="J266" s="20">
        <v>41859</v>
      </c>
      <c r="K266" s="20">
        <v>42004</v>
      </c>
      <c r="L266" s="19">
        <f>16393.44+22372.87</f>
        <v>38766.31</v>
      </c>
      <c r="M266" s="53"/>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row>
    <row r="267" spans="1:62" s="12" customFormat="1" ht="42.75" customHeight="1">
      <c r="A267" s="13">
        <v>264</v>
      </c>
      <c r="B267" s="14" t="s">
        <v>593</v>
      </c>
      <c r="C267" s="15" t="s">
        <v>14</v>
      </c>
      <c r="D267" s="16" t="s">
        <v>15</v>
      </c>
      <c r="E267" s="22" t="s">
        <v>594</v>
      </c>
      <c r="F267" s="15" t="s">
        <v>29</v>
      </c>
      <c r="G267" s="13"/>
      <c r="H267" s="26" t="s">
        <v>595</v>
      </c>
      <c r="I267" s="24">
        <v>483.86</v>
      </c>
      <c r="J267" s="20">
        <v>41904</v>
      </c>
      <c r="K267" s="20">
        <v>42004</v>
      </c>
      <c r="L267" s="19">
        <f>87.25+396.61</f>
        <v>483.86</v>
      </c>
      <c r="M267" s="53"/>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row>
    <row r="268" spans="1:62" s="12" customFormat="1" ht="42.75" customHeight="1">
      <c r="A268" s="13">
        <v>265</v>
      </c>
      <c r="B268" s="14" t="s">
        <v>596</v>
      </c>
      <c r="C268" s="15" t="s">
        <v>14</v>
      </c>
      <c r="D268" s="16" t="s">
        <v>15</v>
      </c>
      <c r="E268" s="22" t="s">
        <v>597</v>
      </c>
      <c r="F268" s="15" t="s">
        <v>29</v>
      </c>
      <c r="G268" s="13"/>
      <c r="H268" s="26" t="s">
        <v>587</v>
      </c>
      <c r="I268" s="24">
        <v>5000</v>
      </c>
      <c r="J268" s="20">
        <v>41907</v>
      </c>
      <c r="K268" s="20">
        <v>42272</v>
      </c>
      <c r="L268" s="19">
        <f>59.22+94.31</f>
        <v>153.53</v>
      </c>
      <c r="M268" s="7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row>
    <row r="269" spans="1:62" s="12" customFormat="1" ht="42.75" customHeight="1">
      <c r="A269" s="13">
        <v>266</v>
      </c>
      <c r="B269" s="14" t="s">
        <v>598</v>
      </c>
      <c r="C269" s="15" t="s">
        <v>14</v>
      </c>
      <c r="D269" s="16" t="s">
        <v>15</v>
      </c>
      <c r="E269" s="22" t="s">
        <v>599</v>
      </c>
      <c r="F269" s="15" t="s">
        <v>29</v>
      </c>
      <c r="G269" s="13"/>
      <c r="H269" s="26" t="s">
        <v>587</v>
      </c>
      <c r="I269" s="24">
        <v>1000</v>
      </c>
      <c r="J269" s="20">
        <v>41907</v>
      </c>
      <c r="K269" s="20">
        <v>42247</v>
      </c>
      <c r="L269" s="19">
        <v>3642.6</v>
      </c>
      <c r="M269" s="7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row>
    <row r="270" spans="1:62" s="12" customFormat="1" ht="42.75" customHeight="1">
      <c r="A270" s="13">
        <v>267</v>
      </c>
      <c r="B270" s="14" t="s">
        <v>600</v>
      </c>
      <c r="C270" s="15" t="s">
        <v>14</v>
      </c>
      <c r="D270" s="16" t="s">
        <v>15</v>
      </c>
      <c r="E270" s="22" t="s">
        <v>601</v>
      </c>
      <c r="F270" s="15" t="s">
        <v>29</v>
      </c>
      <c r="G270" s="13"/>
      <c r="H270" s="26" t="s">
        <v>602</v>
      </c>
      <c r="I270" s="24">
        <v>2089.5</v>
      </c>
      <c r="J270" s="20">
        <v>41911</v>
      </c>
      <c r="K270" s="20">
        <v>41943</v>
      </c>
      <c r="L270" s="24">
        <v>2089.5</v>
      </c>
      <c r="M270" s="53"/>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row>
    <row r="271" spans="1:62" s="12" customFormat="1" ht="42.75" customHeight="1">
      <c r="A271" s="13">
        <v>268</v>
      </c>
      <c r="B271" s="14" t="s">
        <v>603</v>
      </c>
      <c r="C271" s="15" t="s">
        <v>14</v>
      </c>
      <c r="D271" s="16" t="s">
        <v>15</v>
      </c>
      <c r="E271" s="22" t="s">
        <v>604</v>
      </c>
      <c r="F271" s="15" t="s">
        <v>29</v>
      </c>
      <c r="G271" s="13"/>
      <c r="H271" s="26" t="s">
        <v>54</v>
      </c>
      <c r="I271" s="19">
        <v>579</v>
      </c>
      <c r="J271" s="20">
        <v>41919</v>
      </c>
      <c r="K271" s="20">
        <v>41948</v>
      </c>
      <c r="L271" s="19">
        <v>579</v>
      </c>
      <c r="M271" s="53"/>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row>
    <row r="272" spans="1:62" s="12" customFormat="1" ht="42.75" customHeight="1">
      <c r="A272" s="13">
        <v>269</v>
      </c>
      <c r="B272" s="51" t="s">
        <v>605</v>
      </c>
      <c r="C272" s="15" t="s">
        <v>14</v>
      </c>
      <c r="D272" s="16" t="s">
        <v>15</v>
      </c>
      <c r="E272" s="22" t="s">
        <v>607</v>
      </c>
      <c r="F272" s="15" t="s">
        <v>29</v>
      </c>
      <c r="G272" s="13"/>
      <c r="H272" s="26" t="s">
        <v>606</v>
      </c>
      <c r="I272" s="24">
        <v>62009.92</v>
      </c>
      <c r="J272" s="20">
        <v>41925</v>
      </c>
      <c r="K272" s="20">
        <v>42369</v>
      </c>
      <c r="L272" s="19">
        <v>15758.16</v>
      </c>
      <c r="M272" s="53"/>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row>
    <row r="273" spans="1:62" s="12" customFormat="1" ht="42.75" customHeight="1">
      <c r="A273" s="13">
        <v>270</v>
      </c>
      <c r="B273" s="14" t="s">
        <v>608</v>
      </c>
      <c r="C273" s="15" t="s">
        <v>14</v>
      </c>
      <c r="D273" s="16" t="s">
        <v>15</v>
      </c>
      <c r="E273" s="22" t="s">
        <v>609</v>
      </c>
      <c r="F273" s="15" t="s">
        <v>29</v>
      </c>
      <c r="G273" s="13"/>
      <c r="H273" s="26" t="s">
        <v>384</v>
      </c>
      <c r="I273" s="24">
        <v>35800</v>
      </c>
      <c r="J273" s="20">
        <v>42005</v>
      </c>
      <c r="K273" s="20">
        <v>42369</v>
      </c>
      <c r="L273" s="19">
        <f>35877.85+14707.88</f>
        <v>50585.729999999996</v>
      </c>
      <c r="M273" s="7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row>
    <row r="274" spans="1:62" s="12" customFormat="1" ht="42.75" customHeight="1">
      <c r="A274" s="13">
        <v>271</v>
      </c>
      <c r="B274" s="14" t="s">
        <v>610</v>
      </c>
      <c r="C274" s="15" t="s">
        <v>14</v>
      </c>
      <c r="D274" s="16" t="s">
        <v>15</v>
      </c>
      <c r="E274" s="22" t="s">
        <v>611</v>
      </c>
      <c r="F274" s="15" t="s">
        <v>29</v>
      </c>
      <c r="G274" s="13"/>
      <c r="H274" s="26" t="s">
        <v>612</v>
      </c>
      <c r="I274" s="24">
        <v>1567.7</v>
      </c>
      <c r="J274" s="20">
        <v>41940</v>
      </c>
      <c r="K274" s="20">
        <v>41973</v>
      </c>
      <c r="L274" s="19">
        <v>0</v>
      </c>
      <c r="M274" s="53"/>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row>
    <row r="275" spans="1:62" s="12" customFormat="1" ht="91.5" customHeight="1">
      <c r="A275" s="13">
        <v>272</v>
      </c>
      <c r="B275" s="14" t="s">
        <v>613</v>
      </c>
      <c r="C275" s="13" t="s">
        <v>14</v>
      </c>
      <c r="D275" s="51" t="s">
        <v>15</v>
      </c>
      <c r="E275" s="21" t="s">
        <v>614</v>
      </c>
      <c r="F275" s="52" t="s">
        <v>17</v>
      </c>
      <c r="G275" s="13" t="s">
        <v>615</v>
      </c>
      <c r="H275" s="17" t="s">
        <v>616</v>
      </c>
      <c r="I275" s="19">
        <v>197100</v>
      </c>
      <c r="J275" s="20">
        <v>42005</v>
      </c>
      <c r="K275" s="20">
        <v>43100</v>
      </c>
      <c r="L275" s="19">
        <f>43784.57+40008.2</f>
        <v>83792.76999999999</v>
      </c>
      <c r="M275" s="7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row>
    <row r="276" spans="1:62" s="12" customFormat="1" ht="42.75" customHeight="1">
      <c r="A276" s="13">
        <v>273</v>
      </c>
      <c r="B276" s="14" t="s">
        <v>617</v>
      </c>
      <c r="C276" s="15" t="s">
        <v>14</v>
      </c>
      <c r="D276" s="16" t="s">
        <v>15</v>
      </c>
      <c r="E276" s="22" t="s">
        <v>621</v>
      </c>
      <c r="F276" s="15" t="s">
        <v>29</v>
      </c>
      <c r="G276" s="13"/>
      <c r="H276" s="26" t="s">
        <v>618</v>
      </c>
      <c r="I276" s="24">
        <v>4200</v>
      </c>
      <c r="J276" s="20">
        <v>42005</v>
      </c>
      <c r="K276" s="20">
        <v>43100</v>
      </c>
      <c r="L276" s="19">
        <f>283.77+424.4</f>
        <v>708.17</v>
      </c>
      <c r="M276" s="7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row>
    <row r="277" spans="1:62" s="12" customFormat="1" ht="42.75" customHeight="1">
      <c r="A277" s="13">
        <v>274</v>
      </c>
      <c r="B277" s="14" t="s">
        <v>619</v>
      </c>
      <c r="C277" s="15" t="s">
        <v>14</v>
      </c>
      <c r="D277" s="16" t="s">
        <v>15</v>
      </c>
      <c r="E277" s="22" t="s">
        <v>620</v>
      </c>
      <c r="F277" s="15" t="s">
        <v>29</v>
      </c>
      <c r="G277" s="13"/>
      <c r="H277" s="26" t="s">
        <v>622</v>
      </c>
      <c r="I277" s="24">
        <v>2640</v>
      </c>
      <c r="J277" s="20">
        <v>42005</v>
      </c>
      <c r="K277" s="20">
        <v>43100</v>
      </c>
      <c r="L277" s="19">
        <v>2581.31</v>
      </c>
      <c r="M277" s="53"/>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row>
    <row r="278" spans="1:62" s="12" customFormat="1" ht="42.75" customHeight="1">
      <c r="A278" s="13">
        <v>275</v>
      </c>
      <c r="B278" s="14">
        <v>0</v>
      </c>
      <c r="C278" s="15" t="s">
        <v>14</v>
      </c>
      <c r="D278" s="16" t="s">
        <v>15</v>
      </c>
      <c r="E278" s="22" t="s">
        <v>623</v>
      </c>
      <c r="F278" s="15" t="s">
        <v>403</v>
      </c>
      <c r="G278" s="13"/>
      <c r="H278" s="26" t="s">
        <v>624</v>
      </c>
      <c r="I278" s="24">
        <v>210000</v>
      </c>
      <c r="J278" s="20">
        <v>42005</v>
      </c>
      <c r="K278" s="20">
        <v>42735</v>
      </c>
      <c r="L278" s="19">
        <v>72598.11</v>
      </c>
      <c r="M278" s="53"/>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row>
    <row r="279" spans="1:62" s="12" customFormat="1" ht="66.75" customHeight="1">
      <c r="A279" s="13">
        <v>276</v>
      </c>
      <c r="B279" s="14">
        <v>0</v>
      </c>
      <c r="C279" s="15" t="s">
        <v>14</v>
      </c>
      <c r="D279" s="16" t="s">
        <v>15</v>
      </c>
      <c r="E279" s="22" t="s">
        <v>625</v>
      </c>
      <c r="F279" s="27" t="s">
        <v>50</v>
      </c>
      <c r="G279" s="13"/>
      <c r="H279" s="26" t="s">
        <v>51</v>
      </c>
      <c r="I279" s="24">
        <v>11000</v>
      </c>
      <c r="J279" s="20">
        <v>42005</v>
      </c>
      <c r="K279" s="20">
        <v>42735</v>
      </c>
      <c r="L279" s="19">
        <v>6978.69</v>
      </c>
      <c r="M279" s="53"/>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row>
    <row r="280" spans="1:62" s="12" customFormat="1" ht="42.75" customHeight="1">
      <c r="A280" s="13">
        <v>277</v>
      </c>
      <c r="B280" s="14" t="s">
        <v>626</v>
      </c>
      <c r="C280" s="15" t="s">
        <v>14</v>
      </c>
      <c r="D280" s="16" t="s">
        <v>15</v>
      </c>
      <c r="E280" s="22" t="s">
        <v>627</v>
      </c>
      <c r="F280" s="15" t="s">
        <v>29</v>
      </c>
      <c r="G280" s="13"/>
      <c r="H280" s="26" t="s">
        <v>628</v>
      </c>
      <c r="I280" s="24">
        <v>13500</v>
      </c>
      <c r="J280" s="20">
        <v>42005</v>
      </c>
      <c r="K280" s="20">
        <v>43100</v>
      </c>
      <c r="L280" s="19">
        <f>5180.45+4907.6</f>
        <v>10088.05</v>
      </c>
      <c r="M280" s="7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row>
    <row r="281" spans="1:62" s="12" customFormat="1" ht="42.75" customHeight="1">
      <c r="A281" s="13">
        <v>278</v>
      </c>
      <c r="B281" s="14" t="s">
        <v>629</v>
      </c>
      <c r="C281" s="15" t="s">
        <v>14</v>
      </c>
      <c r="D281" s="16" t="s">
        <v>15</v>
      </c>
      <c r="E281" s="22" t="s">
        <v>630</v>
      </c>
      <c r="F281" s="15" t="s">
        <v>29</v>
      </c>
      <c r="G281" s="13"/>
      <c r="H281" s="26" t="s">
        <v>74</v>
      </c>
      <c r="I281" s="24">
        <v>3300</v>
      </c>
      <c r="J281" s="20">
        <v>42005</v>
      </c>
      <c r="K281" s="20">
        <v>43100</v>
      </c>
      <c r="L281" s="19">
        <f>795.08+1100</f>
        <v>1895.08</v>
      </c>
      <c r="M281" s="7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row>
    <row r="282" spans="1:62" s="12" customFormat="1" ht="42.75" customHeight="1">
      <c r="A282" s="13">
        <v>279</v>
      </c>
      <c r="B282" s="14" t="s">
        <v>631</v>
      </c>
      <c r="C282" s="15" t="s">
        <v>14</v>
      </c>
      <c r="D282" s="16" t="s">
        <v>15</v>
      </c>
      <c r="E282" s="22" t="s">
        <v>632</v>
      </c>
      <c r="F282" s="15" t="s">
        <v>29</v>
      </c>
      <c r="G282" s="13"/>
      <c r="H282" s="26" t="s">
        <v>633</v>
      </c>
      <c r="I282" s="24">
        <v>3000</v>
      </c>
      <c r="J282" s="20">
        <v>42005</v>
      </c>
      <c r="K282" s="20">
        <v>42735</v>
      </c>
      <c r="L282" s="19">
        <f>209.98+316.34+711.52</f>
        <v>1237.84</v>
      </c>
      <c r="M282" s="7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row>
    <row r="283" spans="1:62" s="12" customFormat="1" ht="42.75" customHeight="1">
      <c r="A283" s="13">
        <v>280</v>
      </c>
      <c r="B283" s="14" t="s">
        <v>634</v>
      </c>
      <c r="C283" s="15" t="s">
        <v>14</v>
      </c>
      <c r="D283" s="16" t="s">
        <v>15</v>
      </c>
      <c r="E283" s="22" t="s">
        <v>635</v>
      </c>
      <c r="F283" s="15" t="s">
        <v>29</v>
      </c>
      <c r="G283" s="13"/>
      <c r="H283" s="26" t="s">
        <v>636</v>
      </c>
      <c r="I283" s="24">
        <v>7800</v>
      </c>
      <c r="J283" s="20">
        <v>41990</v>
      </c>
      <c r="K283" s="20">
        <v>42094</v>
      </c>
      <c r="L283" s="24">
        <v>7800</v>
      </c>
      <c r="M283" s="53"/>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row>
    <row r="284" spans="1:62" s="12" customFormat="1" ht="42.75" customHeight="1">
      <c r="A284" s="13">
        <v>281</v>
      </c>
      <c r="B284" s="14" t="s">
        <v>637</v>
      </c>
      <c r="C284" s="15" t="s">
        <v>14</v>
      </c>
      <c r="D284" s="16" t="s">
        <v>15</v>
      </c>
      <c r="E284" s="22" t="s">
        <v>638</v>
      </c>
      <c r="F284" s="15" t="s">
        <v>29</v>
      </c>
      <c r="G284" s="13"/>
      <c r="H284" s="26" t="s">
        <v>639</v>
      </c>
      <c r="I284" s="24">
        <v>12000</v>
      </c>
      <c r="J284" s="20">
        <v>42005</v>
      </c>
      <c r="K284" s="20">
        <v>43100</v>
      </c>
      <c r="L284" s="19">
        <f>2202.01+708.4</f>
        <v>2910.4100000000003</v>
      </c>
      <c r="M284" s="7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row>
    <row r="285" spans="1:62" s="12" customFormat="1" ht="42.75" customHeight="1">
      <c r="A285" s="13">
        <v>282</v>
      </c>
      <c r="B285" s="14" t="s">
        <v>640</v>
      </c>
      <c r="C285" s="15" t="s">
        <v>14</v>
      </c>
      <c r="D285" s="16" t="s">
        <v>15</v>
      </c>
      <c r="E285" s="22" t="s">
        <v>641</v>
      </c>
      <c r="F285" s="15" t="s">
        <v>29</v>
      </c>
      <c r="G285" s="13"/>
      <c r="H285" s="26" t="s">
        <v>261</v>
      </c>
      <c r="I285" s="24">
        <v>9000</v>
      </c>
      <c r="J285" s="20">
        <v>42339</v>
      </c>
      <c r="K285" s="20">
        <v>42090</v>
      </c>
      <c r="L285" s="19">
        <f>3600+5400</f>
        <v>9000</v>
      </c>
      <c r="M285" s="53"/>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row>
    <row r="286" spans="1:62" s="12" customFormat="1" ht="42.75" customHeight="1">
      <c r="A286" s="13">
        <v>283</v>
      </c>
      <c r="B286" s="14" t="s">
        <v>642</v>
      </c>
      <c r="C286" s="15" t="s">
        <v>14</v>
      </c>
      <c r="D286" s="16" t="s">
        <v>15</v>
      </c>
      <c r="E286" s="22" t="s">
        <v>643</v>
      </c>
      <c r="F286" s="15" t="s">
        <v>29</v>
      </c>
      <c r="G286" s="13"/>
      <c r="H286" s="26" t="s">
        <v>644</v>
      </c>
      <c r="I286" s="24">
        <v>5100</v>
      </c>
      <c r="J286" s="20">
        <v>42005</v>
      </c>
      <c r="K286" s="20">
        <v>43100</v>
      </c>
      <c r="L286" s="19">
        <f>1993.44+3375</f>
        <v>5368.4400000000005</v>
      </c>
      <c r="M286" s="7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row>
    <row r="287" spans="1:62" s="12" customFormat="1" ht="42.75" customHeight="1">
      <c r="A287" s="13">
        <v>284</v>
      </c>
      <c r="B287" s="14" t="s">
        <v>645</v>
      </c>
      <c r="C287" s="15" t="s">
        <v>14</v>
      </c>
      <c r="D287" s="16" t="s">
        <v>15</v>
      </c>
      <c r="E287" s="22" t="s">
        <v>646</v>
      </c>
      <c r="F287" s="15" t="s">
        <v>29</v>
      </c>
      <c r="G287" s="13"/>
      <c r="H287" s="26" t="s">
        <v>647</v>
      </c>
      <c r="I287" s="24">
        <v>1462.5</v>
      </c>
      <c r="J287" s="20">
        <v>42005</v>
      </c>
      <c r="K287" s="20">
        <v>43100</v>
      </c>
      <c r="L287" s="19">
        <f>1259.34+1337.5</f>
        <v>2596.84</v>
      </c>
      <c r="M287" s="7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row>
    <row r="288" spans="1:62" s="12" customFormat="1" ht="42.75" customHeight="1">
      <c r="A288" s="13">
        <v>285</v>
      </c>
      <c r="B288" s="14" t="s">
        <v>648</v>
      </c>
      <c r="C288" s="15" t="s">
        <v>14</v>
      </c>
      <c r="D288" s="16" t="s">
        <v>15</v>
      </c>
      <c r="E288" s="22" t="s">
        <v>649</v>
      </c>
      <c r="F288" s="15" t="s">
        <v>29</v>
      </c>
      <c r="G288" s="13"/>
      <c r="H288" s="26" t="s">
        <v>77</v>
      </c>
      <c r="I288" s="24">
        <v>3634.31</v>
      </c>
      <c r="J288" s="20">
        <v>42005</v>
      </c>
      <c r="K288" s="20">
        <v>43100</v>
      </c>
      <c r="L288" s="19">
        <f>874.75+978.39</f>
        <v>1853.1399999999999</v>
      </c>
      <c r="M288" s="7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row>
    <row r="289" spans="1:62" s="12" customFormat="1" ht="42.75" customHeight="1">
      <c r="A289" s="13">
        <v>286</v>
      </c>
      <c r="B289" s="14" t="s">
        <v>650</v>
      </c>
      <c r="C289" s="15" t="s">
        <v>14</v>
      </c>
      <c r="D289" s="16" t="s">
        <v>15</v>
      </c>
      <c r="E289" s="22" t="s">
        <v>651</v>
      </c>
      <c r="F289" s="15" t="s">
        <v>29</v>
      </c>
      <c r="G289" s="13"/>
      <c r="H289" s="26" t="s">
        <v>652</v>
      </c>
      <c r="I289" s="24">
        <v>5500</v>
      </c>
      <c r="J289" s="20">
        <v>42036</v>
      </c>
      <c r="K289" s="20">
        <v>42369</v>
      </c>
      <c r="L289" s="19">
        <v>8606.56</v>
      </c>
      <c r="M289" s="53"/>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row>
    <row r="290" spans="1:62" s="12" customFormat="1" ht="42.75" customHeight="1">
      <c r="A290" s="13">
        <v>287</v>
      </c>
      <c r="B290" s="14" t="s">
        <v>653</v>
      </c>
      <c r="C290" s="15" t="s">
        <v>14</v>
      </c>
      <c r="D290" s="16" t="s">
        <v>15</v>
      </c>
      <c r="E290" s="22" t="s">
        <v>654</v>
      </c>
      <c r="F290" s="15" t="s">
        <v>29</v>
      </c>
      <c r="G290" s="13"/>
      <c r="H290" s="26" t="s">
        <v>655</v>
      </c>
      <c r="I290" s="24">
        <v>9792</v>
      </c>
      <c r="J290" s="20">
        <v>42005</v>
      </c>
      <c r="K290" s="20">
        <v>43100</v>
      </c>
      <c r="L290" s="19">
        <v>2904</v>
      </c>
      <c r="M290" s="7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row>
    <row r="291" spans="1:62" s="12" customFormat="1" ht="42.75" customHeight="1">
      <c r="A291" s="13">
        <v>288</v>
      </c>
      <c r="B291" s="14" t="s">
        <v>656</v>
      </c>
      <c r="C291" s="15" t="s">
        <v>14</v>
      </c>
      <c r="D291" s="16" t="s">
        <v>15</v>
      </c>
      <c r="E291" s="22" t="s">
        <v>657</v>
      </c>
      <c r="F291" s="15" t="s">
        <v>29</v>
      </c>
      <c r="G291" s="13"/>
      <c r="H291" s="26" t="s">
        <v>658</v>
      </c>
      <c r="I291" s="24">
        <v>39000</v>
      </c>
      <c r="J291" s="20">
        <v>42005</v>
      </c>
      <c r="K291" s="20">
        <v>43100</v>
      </c>
      <c r="L291" s="19">
        <f>8684.26+8751.5</f>
        <v>17435.760000000002</v>
      </c>
      <c r="M291" s="7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row>
    <row r="292" spans="1:62" s="12" customFormat="1" ht="42.75" customHeight="1">
      <c r="A292" s="13">
        <v>289</v>
      </c>
      <c r="B292" s="14" t="s">
        <v>659</v>
      </c>
      <c r="C292" s="15" t="s">
        <v>14</v>
      </c>
      <c r="D292" s="16" t="s">
        <v>15</v>
      </c>
      <c r="E292" s="22" t="s">
        <v>660</v>
      </c>
      <c r="F292" s="15" t="s">
        <v>29</v>
      </c>
      <c r="G292" s="13"/>
      <c r="H292" s="26" t="s">
        <v>658</v>
      </c>
      <c r="I292" s="24">
        <v>115</v>
      </c>
      <c r="J292" s="20">
        <v>41996</v>
      </c>
      <c r="K292" s="20">
        <v>42035</v>
      </c>
      <c r="L292" s="19">
        <v>0</v>
      </c>
      <c r="M292" s="53"/>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row>
    <row r="293" spans="1:62" s="12" customFormat="1" ht="42.75" customHeight="1">
      <c r="A293" s="13">
        <v>290</v>
      </c>
      <c r="B293" s="14" t="s">
        <v>661</v>
      </c>
      <c r="C293" s="15" t="s">
        <v>14</v>
      </c>
      <c r="D293" s="16" t="s">
        <v>15</v>
      </c>
      <c r="E293" s="22" t="s">
        <v>662</v>
      </c>
      <c r="F293" s="15" t="s">
        <v>29</v>
      </c>
      <c r="G293" s="13"/>
      <c r="H293" s="26" t="s">
        <v>663</v>
      </c>
      <c r="I293" s="24">
        <v>1195</v>
      </c>
      <c r="J293" s="20">
        <v>41996</v>
      </c>
      <c r="K293" s="20">
        <v>42035</v>
      </c>
      <c r="L293" s="19">
        <v>0</v>
      </c>
      <c r="M293" s="53"/>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row>
    <row r="294" spans="1:62" s="12" customFormat="1" ht="42.75" customHeight="1">
      <c r="A294" s="13">
        <v>291</v>
      </c>
      <c r="B294" s="14">
        <v>0</v>
      </c>
      <c r="C294" s="15" t="s">
        <v>14</v>
      </c>
      <c r="D294" s="16" t="s">
        <v>15</v>
      </c>
      <c r="E294" s="22" t="s">
        <v>664</v>
      </c>
      <c r="F294" s="15" t="s">
        <v>403</v>
      </c>
      <c r="G294" s="13"/>
      <c r="H294" s="26" t="s">
        <v>408</v>
      </c>
      <c r="I294" s="24">
        <v>1000</v>
      </c>
      <c r="J294" s="20">
        <v>42002</v>
      </c>
      <c r="K294" s="20">
        <v>42035</v>
      </c>
      <c r="L294" s="19">
        <v>655.74</v>
      </c>
      <c r="M294" s="53"/>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row>
    <row r="295" spans="1:62" s="12" customFormat="1" ht="42.75" customHeight="1">
      <c r="A295" s="13">
        <v>292</v>
      </c>
      <c r="B295" s="14" t="s">
        <v>665</v>
      </c>
      <c r="C295" s="15" t="s">
        <v>14</v>
      </c>
      <c r="D295" s="16" t="s">
        <v>15</v>
      </c>
      <c r="E295" s="22" t="s">
        <v>666</v>
      </c>
      <c r="F295" s="15" t="s">
        <v>29</v>
      </c>
      <c r="G295" s="13"/>
      <c r="H295" s="26" t="s">
        <v>667</v>
      </c>
      <c r="I295" s="24">
        <v>15000</v>
      </c>
      <c r="J295" s="20">
        <v>42005</v>
      </c>
      <c r="K295" s="20">
        <v>43100</v>
      </c>
      <c r="L295" s="19">
        <f>793.57+2194.14</f>
        <v>2987.71</v>
      </c>
      <c r="M295" s="7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row>
    <row r="296" spans="1:62" s="12" customFormat="1" ht="42.75" customHeight="1">
      <c r="A296" s="13">
        <v>293</v>
      </c>
      <c r="B296" s="14">
        <v>0</v>
      </c>
      <c r="C296" s="15" t="s">
        <v>14</v>
      </c>
      <c r="D296" s="16" t="s">
        <v>15</v>
      </c>
      <c r="E296" s="22" t="s">
        <v>573</v>
      </c>
      <c r="F296" s="15" t="s">
        <v>29</v>
      </c>
      <c r="G296" s="13"/>
      <c r="H296" s="26" t="s">
        <v>575</v>
      </c>
      <c r="I296" s="24">
        <v>895.81</v>
      </c>
      <c r="J296" s="20">
        <v>41849</v>
      </c>
      <c r="K296" s="20">
        <v>42004</v>
      </c>
      <c r="L296" s="19">
        <v>730.54</v>
      </c>
      <c r="M296" s="53"/>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row>
    <row r="297" spans="1:62" s="12" customFormat="1" ht="42.75" customHeight="1">
      <c r="A297" s="13">
        <v>294</v>
      </c>
      <c r="B297" s="14">
        <v>0</v>
      </c>
      <c r="C297" s="15" t="s">
        <v>14</v>
      </c>
      <c r="D297" s="16" t="s">
        <v>15</v>
      </c>
      <c r="E297" s="22" t="s">
        <v>574</v>
      </c>
      <c r="F297" s="15" t="s">
        <v>29</v>
      </c>
      <c r="G297" s="13"/>
      <c r="H297" s="26" t="s">
        <v>576</v>
      </c>
      <c r="I297" s="24">
        <v>150</v>
      </c>
      <c r="J297" s="20">
        <v>41849</v>
      </c>
      <c r="K297" s="20">
        <v>42004</v>
      </c>
      <c r="L297" s="19">
        <v>75</v>
      </c>
      <c r="M297" s="53"/>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row>
    <row r="298" spans="1:62" s="12" customFormat="1" ht="42.75" customHeight="1">
      <c r="A298" s="13">
        <v>295</v>
      </c>
      <c r="B298" s="14" t="s">
        <v>577</v>
      </c>
      <c r="C298" s="15" t="s">
        <v>14</v>
      </c>
      <c r="D298" s="16" t="s">
        <v>15</v>
      </c>
      <c r="E298" s="22" t="s">
        <v>578</v>
      </c>
      <c r="F298" s="15" t="s">
        <v>57</v>
      </c>
      <c r="G298" s="13"/>
      <c r="H298" s="54" t="s">
        <v>668</v>
      </c>
      <c r="I298" s="24">
        <v>10000</v>
      </c>
      <c r="J298" s="20">
        <v>41856</v>
      </c>
      <c r="K298" s="20">
        <v>42526</v>
      </c>
      <c r="L298" s="19">
        <v>0</v>
      </c>
      <c r="M298" s="53"/>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row>
    <row r="299" spans="1:62" s="12" customFormat="1" ht="42.75" customHeight="1">
      <c r="A299" s="13">
        <v>296</v>
      </c>
      <c r="B299" s="14" t="s">
        <v>669</v>
      </c>
      <c r="C299" s="15" t="s">
        <v>14</v>
      </c>
      <c r="D299" s="16" t="s">
        <v>15</v>
      </c>
      <c r="E299" s="22" t="s">
        <v>670</v>
      </c>
      <c r="F299" s="15" t="s">
        <v>29</v>
      </c>
      <c r="G299" s="13"/>
      <c r="H299" s="26" t="s">
        <v>671</v>
      </c>
      <c r="I299" s="24">
        <v>2500</v>
      </c>
      <c r="J299" s="20">
        <v>41912</v>
      </c>
      <c r="K299" s="20">
        <v>41943</v>
      </c>
      <c r="L299" s="19">
        <v>2500</v>
      </c>
      <c r="M299" s="53"/>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row>
    <row r="300" spans="1:62" s="12" customFormat="1" ht="42.75" customHeight="1">
      <c r="A300" s="13">
        <v>297</v>
      </c>
      <c r="B300" s="14" t="s">
        <v>672</v>
      </c>
      <c r="C300" s="15" t="s">
        <v>14</v>
      </c>
      <c r="D300" s="16" t="s">
        <v>15</v>
      </c>
      <c r="E300" s="22" t="s">
        <v>673</v>
      </c>
      <c r="F300" s="15" t="s">
        <v>29</v>
      </c>
      <c r="G300" s="13"/>
      <c r="H300" s="26" t="s">
        <v>674</v>
      </c>
      <c r="I300" s="24">
        <v>115</v>
      </c>
      <c r="J300" s="20">
        <v>41904</v>
      </c>
      <c r="K300" s="20">
        <v>42004</v>
      </c>
      <c r="L300" s="24">
        <v>115</v>
      </c>
      <c r="M300" s="53"/>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row>
    <row r="301" spans="1:62" s="12" customFormat="1" ht="42.75" customHeight="1">
      <c r="A301" s="13">
        <v>298</v>
      </c>
      <c r="B301" s="14">
        <v>0</v>
      </c>
      <c r="C301" s="15" t="s">
        <v>14</v>
      </c>
      <c r="D301" s="16" t="s">
        <v>15</v>
      </c>
      <c r="E301" s="22" t="s">
        <v>675</v>
      </c>
      <c r="F301" s="15" t="s">
        <v>403</v>
      </c>
      <c r="G301" s="13"/>
      <c r="H301" s="26" t="s">
        <v>676</v>
      </c>
      <c r="I301" s="24">
        <v>880</v>
      </c>
      <c r="J301" s="20">
        <v>41904</v>
      </c>
      <c r="K301" s="20">
        <v>42004</v>
      </c>
      <c r="L301" s="19">
        <v>880</v>
      </c>
      <c r="M301" s="53"/>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row>
    <row r="302" spans="1:62" s="12" customFormat="1" ht="42.75" customHeight="1">
      <c r="A302" s="13">
        <v>299</v>
      </c>
      <c r="B302" s="14" t="s">
        <v>677</v>
      </c>
      <c r="C302" s="15" t="s">
        <v>14</v>
      </c>
      <c r="D302" s="16" t="s">
        <v>15</v>
      </c>
      <c r="E302" s="55" t="s">
        <v>678</v>
      </c>
      <c r="F302" s="15" t="s">
        <v>29</v>
      </c>
      <c r="G302" s="13"/>
      <c r="H302" s="26" t="s">
        <v>679</v>
      </c>
      <c r="I302" s="24">
        <v>1968</v>
      </c>
      <c r="J302" s="20">
        <v>41905</v>
      </c>
      <c r="K302" s="20">
        <v>42004</v>
      </c>
      <c r="L302" s="19">
        <v>1968</v>
      </c>
      <c r="M302" s="53"/>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row>
    <row r="303" spans="1:62" s="12" customFormat="1" ht="42.75" customHeight="1">
      <c r="A303" s="13">
        <v>300</v>
      </c>
      <c r="B303" s="14" t="s">
        <v>680</v>
      </c>
      <c r="C303" s="15" t="s">
        <v>14</v>
      </c>
      <c r="D303" s="16" t="s">
        <v>15</v>
      </c>
      <c r="E303" s="55" t="s">
        <v>678</v>
      </c>
      <c r="F303" s="15" t="s">
        <v>29</v>
      </c>
      <c r="G303" s="13"/>
      <c r="H303" s="26" t="s">
        <v>681</v>
      </c>
      <c r="I303" s="24">
        <v>480</v>
      </c>
      <c r="J303" s="20">
        <v>41929</v>
      </c>
      <c r="K303" s="20">
        <v>42004</v>
      </c>
      <c r="L303" s="19">
        <v>511.48</v>
      </c>
      <c r="M303" s="53"/>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row>
    <row r="304" spans="1:62" s="12" customFormat="1" ht="42.75" customHeight="1">
      <c r="A304" s="13">
        <v>301</v>
      </c>
      <c r="B304" s="14" t="s">
        <v>682</v>
      </c>
      <c r="C304" s="15" t="s">
        <v>14</v>
      </c>
      <c r="D304" s="16" t="s">
        <v>15</v>
      </c>
      <c r="E304" s="22" t="s">
        <v>683</v>
      </c>
      <c r="F304" s="15" t="s">
        <v>29</v>
      </c>
      <c r="G304" s="13"/>
      <c r="H304" s="26" t="s">
        <v>684</v>
      </c>
      <c r="I304" s="24">
        <v>163.93</v>
      </c>
      <c r="J304" s="20">
        <v>41941</v>
      </c>
      <c r="K304" s="20">
        <v>42004</v>
      </c>
      <c r="L304" s="24">
        <v>163.93</v>
      </c>
      <c r="M304" s="53"/>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row>
    <row r="305" spans="1:62" s="12" customFormat="1" ht="42.75" customHeight="1">
      <c r="A305" s="13">
        <v>302</v>
      </c>
      <c r="B305" s="14" t="s">
        <v>685</v>
      </c>
      <c r="C305" s="15" t="s">
        <v>14</v>
      </c>
      <c r="D305" s="16" t="s">
        <v>15</v>
      </c>
      <c r="E305" s="56" t="s">
        <v>686</v>
      </c>
      <c r="F305" s="15" t="s">
        <v>29</v>
      </c>
      <c r="G305" s="13"/>
      <c r="H305" s="26" t="s">
        <v>687</v>
      </c>
      <c r="I305" s="24">
        <v>370</v>
      </c>
      <c r="J305" s="20">
        <v>41943</v>
      </c>
      <c r="K305" s="20">
        <v>42004</v>
      </c>
      <c r="L305" s="19">
        <v>260.66</v>
      </c>
      <c r="M305" s="53"/>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row>
    <row r="306" spans="1:62" s="12" customFormat="1" ht="42.75" customHeight="1">
      <c r="A306" s="13">
        <v>303</v>
      </c>
      <c r="B306" s="14" t="s">
        <v>688</v>
      </c>
      <c r="C306" s="15" t="s">
        <v>14</v>
      </c>
      <c r="D306" s="16" t="s">
        <v>15</v>
      </c>
      <c r="E306" s="22" t="s">
        <v>689</v>
      </c>
      <c r="F306" s="15" t="s">
        <v>29</v>
      </c>
      <c r="G306" s="13"/>
      <c r="H306" s="26" t="s">
        <v>690</v>
      </c>
      <c r="I306" s="24">
        <v>4000</v>
      </c>
      <c r="J306" s="20">
        <v>41943</v>
      </c>
      <c r="K306" s="20">
        <v>42004</v>
      </c>
      <c r="L306" s="19">
        <v>2991.8</v>
      </c>
      <c r="M306" s="53"/>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row>
    <row r="307" spans="1:62" s="12" customFormat="1" ht="42.75" customHeight="1">
      <c r="A307" s="13">
        <v>304</v>
      </c>
      <c r="B307" s="14" t="s">
        <v>691</v>
      </c>
      <c r="C307" s="15" t="s">
        <v>14</v>
      </c>
      <c r="D307" s="16" t="s">
        <v>15</v>
      </c>
      <c r="E307" s="22" t="s">
        <v>692</v>
      </c>
      <c r="F307" s="15" t="s">
        <v>29</v>
      </c>
      <c r="G307" s="13"/>
      <c r="H307" s="26" t="s">
        <v>693</v>
      </c>
      <c r="I307" s="24">
        <v>660</v>
      </c>
      <c r="J307" s="20">
        <v>41943</v>
      </c>
      <c r="K307" s="20">
        <v>42004</v>
      </c>
      <c r="L307" s="24">
        <v>660</v>
      </c>
      <c r="M307" s="53"/>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row>
    <row r="308" spans="1:62" s="12" customFormat="1" ht="42.75" customHeight="1">
      <c r="A308" s="13">
        <v>305</v>
      </c>
      <c r="B308" s="14" t="s">
        <v>694</v>
      </c>
      <c r="C308" s="15" t="s">
        <v>14</v>
      </c>
      <c r="D308" s="16" t="s">
        <v>15</v>
      </c>
      <c r="E308" s="22" t="s">
        <v>695</v>
      </c>
      <c r="F308" s="15" t="s">
        <v>29</v>
      </c>
      <c r="G308" s="13"/>
      <c r="H308" s="26" t="s">
        <v>696</v>
      </c>
      <c r="I308" s="24">
        <v>245</v>
      </c>
      <c r="J308" s="20">
        <v>41970</v>
      </c>
      <c r="K308" s="20">
        <v>42004</v>
      </c>
      <c r="L308" s="19">
        <v>135</v>
      </c>
      <c r="M308" s="53"/>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row>
    <row r="309" spans="1:62" s="12" customFormat="1" ht="42.75" customHeight="1">
      <c r="A309" s="13">
        <v>306</v>
      </c>
      <c r="B309" s="14" t="s">
        <v>697</v>
      </c>
      <c r="C309" s="15" t="s">
        <v>14</v>
      </c>
      <c r="D309" s="16" t="s">
        <v>15</v>
      </c>
      <c r="E309" s="22" t="s">
        <v>698</v>
      </c>
      <c r="F309" s="15" t="s">
        <v>29</v>
      </c>
      <c r="G309" s="13"/>
      <c r="H309" s="26" t="s">
        <v>699</v>
      </c>
      <c r="I309" s="24">
        <v>402</v>
      </c>
      <c r="J309" s="20">
        <v>41970</v>
      </c>
      <c r="K309" s="20">
        <v>42004</v>
      </c>
      <c r="L309" s="24">
        <v>402</v>
      </c>
      <c r="M309" s="53"/>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row>
    <row r="310" spans="1:62" s="12" customFormat="1" ht="42.75" customHeight="1">
      <c r="A310" s="13">
        <v>307</v>
      </c>
      <c r="B310" s="14" t="s">
        <v>700</v>
      </c>
      <c r="C310" s="15" t="s">
        <v>14</v>
      </c>
      <c r="D310" s="16" t="s">
        <v>15</v>
      </c>
      <c r="E310" s="22" t="s">
        <v>701</v>
      </c>
      <c r="F310" s="15" t="s">
        <v>29</v>
      </c>
      <c r="G310" s="13"/>
      <c r="H310" s="26" t="s">
        <v>702</v>
      </c>
      <c r="I310" s="24">
        <v>2400</v>
      </c>
      <c r="J310" s="20">
        <v>41989</v>
      </c>
      <c r="K310" s="20">
        <v>42369</v>
      </c>
      <c r="L310" s="19">
        <v>2006.56</v>
      </c>
      <c r="M310" s="53"/>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row>
    <row r="311" spans="1:62" s="12" customFormat="1" ht="42.75" customHeight="1">
      <c r="A311" s="13">
        <v>308</v>
      </c>
      <c r="B311" s="14" t="s">
        <v>707</v>
      </c>
      <c r="C311" s="15" t="s">
        <v>14</v>
      </c>
      <c r="D311" s="16" t="s">
        <v>15</v>
      </c>
      <c r="E311" s="22" t="s">
        <v>708</v>
      </c>
      <c r="F311" s="15" t="s">
        <v>29</v>
      </c>
      <c r="G311" s="13"/>
      <c r="H311" s="26" t="s">
        <v>709</v>
      </c>
      <c r="I311" s="24">
        <v>157.38</v>
      </c>
      <c r="J311" s="20">
        <v>41928</v>
      </c>
      <c r="K311" s="20">
        <v>41943</v>
      </c>
      <c r="L311" s="19">
        <v>157.38</v>
      </c>
      <c r="M311" s="53"/>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row>
    <row r="312" spans="1:62" s="12" customFormat="1" ht="42.75" customHeight="1">
      <c r="A312" s="13">
        <v>309</v>
      </c>
      <c r="B312" s="14" t="s">
        <v>710</v>
      </c>
      <c r="C312" s="15" t="s">
        <v>14</v>
      </c>
      <c r="D312" s="16" t="s">
        <v>15</v>
      </c>
      <c r="E312" s="21" t="s">
        <v>249</v>
      </c>
      <c r="F312" s="15" t="s">
        <v>29</v>
      </c>
      <c r="G312" s="28"/>
      <c r="H312" s="17" t="s">
        <v>250</v>
      </c>
      <c r="I312" s="19">
        <v>18000</v>
      </c>
      <c r="J312" s="20">
        <v>41640</v>
      </c>
      <c r="K312" s="20">
        <v>42004</v>
      </c>
      <c r="L312" s="19">
        <v>18000</v>
      </c>
      <c r="M312" s="53"/>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row>
    <row r="313" spans="1:62" s="12" customFormat="1" ht="42.75" customHeight="1">
      <c r="A313" s="13">
        <v>310</v>
      </c>
      <c r="B313" s="14" t="s">
        <v>711</v>
      </c>
      <c r="C313" s="15" t="s">
        <v>14</v>
      </c>
      <c r="D313" s="16" t="s">
        <v>15</v>
      </c>
      <c r="E313" s="22" t="s">
        <v>712</v>
      </c>
      <c r="F313" s="15" t="s">
        <v>29</v>
      </c>
      <c r="G313" s="13"/>
      <c r="H313" s="26" t="s">
        <v>713</v>
      </c>
      <c r="I313" s="24">
        <v>87.7</v>
      </c>
      <c r="J313" s="20">
        <v>41976</v>
      </c>
      <c r="K313" s="20">
        <v>42004</v>
      </c>
      <c r="L313" s="19">
        <v>87.7</v>
      </c>
      <c r="M313" s="53"/>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row>
    <row r="314" spans="1:62" s="12" customFormat="1" ht="42.75" customHeight="1">
      <c r="A314" s="13">
        <v>311</v>
      </c>
      <c r="B314" s="14" t="s">
        <v>714</v>
      </c>
      <c r="C314" s="15" t="s">
        <v>14</v>
      </c>
      <c r="D314" s="16" t="s">
        <v>15</v>
      </c>
      <c r="E314" s="22" t="s">
        <v>715</v>
      </c>
      <c r="F314" s="15" t="s">
        <v>57</v>
      </c>
      <c r="G314" s="13"/>
      <c r="H314" s="26" t="s">
        <v>716</v>
      </c>
      <c r="I314" s="24">
        <v>5000</v>
      </c>
      <c r="J314" s="20">
        <v>41780</v>
      </c>
      <c r="K314" s="20">
        <v>42124</v>
      </c>
      <c r="L314" s="19">
        <f>297.87+279.54</f>
        <v>577.4100000000001</v>
      </c>
      <c r="M314" s="53"/>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row>
    <row r="315" spans="1:62" s="12" customFormat="1" ht="42.75" customHeight="1">
      <c r="A315" s="13">
        <v>312</v>
      </c>
      <c r="B315" s="14" t="s">
        <v>717</v>
      </c>
      <c r="C315" s="15" t="s">
        <v>14</v>
      </c>
      <c r="D315" s="16" t="s">
        <v>15</v>
      </c>
      <c r="E315" s="22" t="s">
        <v>718</v>
      </c>
      <c r="F315" s="15" t="s">
        <v>57</v>
      </c>
      <c r="G315" s="13"/>
      <c r="H315" s="17" t="s">
        <v>99</v>
      </c>
      <c r="I315" s="24">
        <v>22500</v>
      </c>
      <c r="J315" s="20">
        <v>41780</v>
      </c>
      <c r="K315" s="20">
        <v>42124</v>
      </c>
      <c r="L315" s="19">
        <f>723.3+3287.72+4080.88</f>
        <v>8091.9</v>
      </c>
      <c r="M315" s="53"/>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row>
    <row r="316" spans="1:62" s="12" customFormat="1" ht="42.75" customHeight="1">
      <c r="A316" s="13">
        <v>313</v>
      </c>
      <c r="B316" s="14">
        <v>0</v>
      </c>
      <c r="C316" s="15" t="s">
        <v>14</v>
      </c>
      <c r="D316" s="16" t="s">
        <v>15</v>
      </c>
      <c r="E316" s="22" t="s">
        <v>721</v>
      </c>
      <c r="F316" s="15" t="s">
        <v>403</v>
      </c>
      <c r="G316" s="13"/>
      <c r="H316" s="26" t="s">
        <v>408</v>
      </c>
      <c r="I316" s="24">
        <v>0</v>
      </c>
      <c r="J316" s="20" t="s">
        <v>39</v>
      </c>
      <c r="K316" s="20" t="s">
        <v>39</v>
      </c>
      <c r="L316" s="19">
        <f>307.38+67.62+80.46+365.73+307.38+67.62+80.46+365.73+821.19</f>
        <v>2463.57</v>
      </c>
      <c r="M316" s="53"/>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row>
    <row r="317" spans="1:62" s="12" customFormat="1" ht="42.75" customHeight="1">
      <c r="A317" s="13">
        <v>314</v>
      </c>
      <c r="B317" s="14" t="s">
        <v>719</v>
      </c>
      <c r="C317" s="15" t="s">
        <v>14</v>
      </c>
      <c r="D317" s="16" t="s">
        <v>15</v>
      </c>
      <c r="E317" s="21" t="s">
        <v>720</v>
      </c>
      <c r="F317" s="15" t="s">
        <v>29</v>
      </c>
      <c r="G317" s="28"/>
      <c r="H317" s="17" t="s">
        <v>329</v>
      </c>
      <c r="I317" s="31">
        <v>2329.51</v>
      </c>
      <c r="J317" s="32">
        <v>41840</v>
      </c>
      <c r="K317" s="32">
        <v>41848</v>
      </c>
      <c r="L317" s="31">
        <v>2329.51</v>
      </c>
      <c r="M317" s="53"/>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row>
    <row r="318" spans="1:13" ht="409.5" customHeight="1">
      <c r="A318" s="13">
        <v>315</v>
      </c>
      <c r="B318" s="14" t="s">
        <v>217</v>
      </c>
      <c r="C318" s="15" t="s">
        <v>14</v>
      </c>
      <c r="D318" s="16" t="s">
        <v>15</v>
      </c>
      <c r="E318" s="17" t="s">
        <v>218</v>
      </c>
      <c r="F318" s="30" t="s">
        <v>245</v>
      </c>
      <c r="G318" s="40" t="s">
        <v>219</v>
      </c>
      <c r="H318" s="17" t="s">
        <v>220</v>
      </c>
      <c r="I318" s="19">
        <v>35340.44</v>
      </c>
      <c r="J318" s="20">
        <v>41169</v>
      </c>
      <c r="K318" s="20">
        <v>41425</v>
      </c>
      <c r="L318" s="19">
        <f>3946.98+9209.61+312+7103.66+12504.22+10533.19+4058.04</f>
        <v>47667.700000000004</v>
      </c>
      <c r="M318" s="71"/>
    </row>
    <row r="319" spans="1:13" ht="80.25" customHeight="1">
      <c r="A319" s="13">
        <v>316</v>
      </c>
      <c r="B319" s="35" t="s">
        <v>337</v>
      </c>
      <c r="C319" s="15" t="s">
        <v>14</v>
      </c>
      <c r="D319" s="16" t="s">
        <v>15</v>
      </c>
      <c r="E319" s="33" t="s">
        <v>338</v>
      </c>
      <c r="F319" s="15" t="s">
        <v>29</v>
      </c>
      <c r="G319" s="33" t="s">
        <v>339</v>
      </c>
      <c r="H319" s="26" t="s">
        <v>340</v>
      </c>
      <c r="I319" s="31">
        <v>4178.2</v>
      </c>
      <c r="J319" s="32">
        <v>41528</v>
      </c>
      <c r="K319" s="32">
        <v>41557</v>
      </c>
      <c r="L319" s="19">
        <f>771.29+1606.93+1799.97</f>
        <v>4178.1900000000005</v>
      </c>
      <c r="M319" s="53"/>
    </row>
    <row r="320" spans="1:13" ht="170.25" customHeight="1">
      <c r="A320" s="13">
        <v>317</v>
      </c>
      <c r="B320" s="58" t="s">
        <v>703</v>
      </c>
      <c r="C320" s="15" t="s">
        <v>14</v>
      </c>
      <c r="D320" s="16" t="s">
        <v>15</v>
      </c>
      <c r="E320" s="57" t="s">
        <v>704</v>
      </c>
      <c r="F320" s="58" t="s">
        <v>105</v>
      </c>
      <c r="G320" s="57" t="s">
        <v>705</v>
      </c>
      <c r="H320" s="59" t="s">
        <v>706</v>
      </c>
      <c r="I320" s="60">
        <v>640760</v>
      </c>
      <c r="J320" s="61">
        <v>42164</v>
      </c>
      <c r="K320" s="61">
        <v>42343</v>
      </c>
      <c r="L320" s="57">
        <f>96213.26+11112.78+4256.83+45806.15+132576.21+4256.83+51328.32+4256.83+64386.82+7653.16+3082.53+41050.93+3082.53+3082.53+88628.78+45530.15+83111.79</f>
        <v>689416.4300000002</v>
      </c>
      <c r="M320" s="71"/>
    </row>
    <row r="321" spans="1:13" ht="57" customHeight="1">
      <c r="A321" s="13">
        <v>318</v>
      </c>
      <c r="B321" s="58" t="s">
        <v>722</v>
      </c>
      <c r="C321" s="15" t="s">
        <v>14</v>
      </c>
      <c r="D321" s="16" t="s">
        <v>15</v>
      </c>
      <c r="E321" s="57" t="s">
        <v>723</v>
      </c>
      <c r="F321" s="15" t="s">
        <v>29</v>
      </c>
      <c r="G321" s="57" t="s">
        <v>340</v>
      </c>
      <c r="H321" s="57" t="s">
        <v>340</v>
      </c>
      <c r="I321" s="60">
        <v>2288</v>
      </c>
      <c r="J321" s="61">
        <v>42339</v>
      </c>
      <c r="K321" s="61">
        <v>42735</v>
      </c>
      <c r="L321" s="60">
        <f>2869.87+2351.36</f>
        <v>5221.23</v>
      </c>
      <c r="M321" s="71"/>
    </row>
    <row r="322" spans="1:13" ht="38.25">
      <c r="A322" s="13">
        <v>319</v>
      </c>
      <c r="B322" s="14" t="s">
        <v>529</v>
      </c>
      <c r="C322" s="15" t="s">
        <v>14</v>
      </c>
      <c r="D322" s="16" t="s">
        <v>15</v>
      </c>
      <c r="E322" s="22" t="s">
        <v>725</v>
      </c>
      <c r="F322" s="15" t="s">
        <v>29</v>
      </c>
      <c r="G322" s="13"/>
      <c r="H322" s="26" t="s">
        <v>726</v>
      </c>
      <c r="I322" s="24">
        <v>2869</v>
      </c>
      <c r="J322" s="20">
        <v>42020</v>
      </c>
      <c r="K322" s="20">
        <v>42384</v>
      </c>
      <c r="L322" s="19">
        <v>0</v>
      </c>
      <c r="M322" s="53"/>
    </row>
    <row r="323" spans="1:13" ht="38.25">
      <c r="A323" s="13">
        <v>320</v>
      </c>
      <c r="B323" s="14" t="s">
        <v>727</v>
      </c>
      <c r="C323" s="15" t="s">
        <v>14</v>
      </c>
      <c r="D323" s="16" t="s">
        <v>15</v>
      </c>
      <c r="E323" s="22" t="s">
        <v>728</v>
      </c>
      <c r="F323" s="15" t="s">
        <v>29</v>
      </c>
      <c r="G323" s="13"/>
      <c r="H323" s="26" t="s">
        <v>729</v>
      </c>
      <c r="I323" s="24">
        <v>6980.16</v>
      </c>
      <c r="J323" s="20">
        <v>42024</v>
      </c>
      <c r="K323" s="20">
        <v>42216</v>
      </c>
      <c r="L323" s="19">
        <v>5813.25</v>
      </c>
      <c r="M323" s="53"/>
    </row>
    <row r="324" spans="1:13" ht="38.25">
      <c r="A324" s="13">
        <v>321</v>
      </c>
      <c r="B324" s="14" t="s">
        <v>730</v>
      </c>
      <c r="C324" s="15" t="s">
        <v>14</v>
      </c>
      <c r="D324" s="16" t="s">
        <v>15</v>
      </c>
      <c r="E324" s="22" t="s">
        <v>731</v>
      </c>
      <c r="F324" s="15" t="s">
        <v>29</v>
      </c>
      <c r="G324" s="13"/>
      <c r="H324" s="26" t="s">
        <v>732</v>
      </c>
      <c r="I324" s="24">
        <v>130</v>
      </c>
      <c r="J324" s="20">
        <v>42034</v>
      </c>
      <c r="K324" s="20">
        <v>42048</v>
      </c>
      <c r="L324" s="19">
        <v>115.19</v>
      </c>
      <c r="M324" s="53"/>
    </row>
    <row r="325" spans="1:13" ht="38.25">
      <c r="A325" s="13">
        <v>322</v>
      </c>
      <c r="B325" s="14" t="s">
        <v>733</v>
      </c>
      <c r="C325" s="15" t="s">
        <v>14</v>
      </c>
      <c r="D325" s="16" t="s">
        <v>15</v>
      </c>
      <c r="E325" s="22" t="s">
        <v>734</v>
      </c>
      <c r="F325" s="15" t="s">
        <v>29</v>
      </c>
      <c r="G325" s="13"/>
      <c r="H325" s="26" t="s">
        <v>193</v>
      </c>
      <c r="I325" s="24">
        <v>21000</v>
      </c>
      <c r="J325" s="20">
        <v>42095</v>
      </c>
      <c r="K325" s="20">
        <v>42460</v>
      </c>
      <c r="L325" s="19">
        <f>1629.98+2999.18</f>
        <v>4629.16</v>
      </c>
      <c r="M325" s="71"/>
    </row>
    <row r="326" spans="1:13" ht="38.25">
      <c r="A326" s="13">
        <v>323</v>
      </c>
      <c r="B326" s="14" t="s">
        <v>735</v>
      </c>
      <c r="C326" s="15" t="s">
        <v>14</v>
      </c>
      <c r="D326" s="16" t="s">
        <v>15</v>
      </c>
      <c r="E326" s="22" t="s">
        <v>736</v>
      </c>
      <c r="F326" s="52" t="s">
        <v>17</v>
      </c>
      <c r="G326" s="13"/>
      <c r="H326" s="26" t="s">
        <v>636</v>
      </c>
      <c r="I326" s="24">
        <v>2500</v>
      </c>
      <c r="J326" s="20">
        <v>42039</v>
      </c>
      <c r="K326" s="20">
        <v>42369</v>
      </c>
      <c r="L326" s="24">
        <v>2500</v>
      </c>
      <c r="M326" s="53"/>
    </row>
    <row r="327" spans="1:13" ht="38.25">
      <c r="A327" s="13">
        <v>324</v>
      </c>
      <c r="B327" s="14" t="s">
        <v>737</v>
      </c>
      <c r="C327" s="15" t="s">
        <v>14</v>
      </c>
      <c r="D327" s="16" t="s">
        <v>15</v>
      </c>
      <c r="E327" s="22" t="s">
        <v>738</v>
      </c>
      <c r="F327" s="15" t="s">
        <v>29</v>
      </c>
      <c r="G327" s="13"/>
      <c r="H327" s="26" t="s">
        <v>739</v>
      </c>
      <c r="I327" s="24">
        <v>2146</v>
      </c>
      <c r="J327" s="20">
        <v>42039</v>
      </c>
      <c r="K327" s="20">
        <v>42187</v>
      </c>
      <c r="L327" s="19">
        <v>1759.01</v>
      </c>
      <c r="M327" s="53"/>
    </row>
    <row r="328" spans="1:13" ht="38.25">
      <c r="A328" s="13">
        <v>325</v>
      </c>
      <c r="B328" s="14" t="s">
        <v>740</v>
      </c>
      <c r="C328" s="15" t="s">
        <v>14</v>
      </c>
      <c r="D328" s="16" t="s">
        <v>15</v>
      </c>
      <c r="E328" s="22" t="s">
        <v>741</v>
      </c>
      <c r="F328" s="15" t="s">
        <v>29</v>
      </c>
      <c r="G328" s="13"/>
      <c r="H328" s="17" t="s">
        <v>250</v>
      </c>
      <c r="I328" s="24">
        <v>16200</v>
      </c>
      <c r="J328" s="20">
        <v>42005</v>
      </c>
      <c r="K328" s="20">
        <v>42369</v>
      </c>
      <c r="L328" s="24">
        <v>16200</v>
      </c>
      <c r="M328" s="53"/>
    </row>
    <row r="329" spans="1:13" ht="38.25">
      <c r="A329" s="13">
        <v>326</v>
      </c>
      <c r="B329" s="14" t="s">
        <v>742</v>
      </c>
      <c r="C329" s="15" t="s">
        <v>14</v>
      </c>
      <c r="D329" s="16" t="s">
        <v>15</v>
      </c>
      <c r="E329" s="22" t="s">
        <v>743</v>
      </c>
      <c r="F329" s="15" t="s">
        <v>29</v>
      </c>
      <c r="G329" s="13"/>
      <c r="H329" s="26" t="s">
        <v>744</v>
      </c>
      <c r="I329" s="24">
        <v>430</v>
      </c>
      <c r="J329" s="20">
        <v>42053</v>
      </c>
      <c r="K329" s="20">
        <v>42076</v>
      </c>
      <c r="L329" s="19">
        <v>373.89</v>
      </c>
      <c r="M329" s="53"/>
    </row>
    <row r="330" spans="1:13" ht="38.25">
      <c r="A330" s="13">
        <v>327</v>
      </c>
      <c r="B330" s="14" t="s">
        <v>745</v>
      </c>
      <c r="C330" s="15" t="s">
        <v>14</v>
      </c>
      <c r="D330" s="16" t="s">
        <v>15</v>
      </c>
      <c r="E330" s="22" t="s">
        <v>746</v>
      </c>
      <c r="F330" s="15" t="s">
        <v>29</v>
      </c>
      <c r="G330" s="13"/>
      <c r="H330" s="26" t="s">
        <v>747</v>
      </c>
      <c r="I330" s="24">
        <v>36</v>
      </c>
      <c r="J330" s="20">
        <v>42053</v>
      </c>
      <c r="K330" s="20">
        <v>42076</v>
      </c>
      <c r="L330" s="24">
        <v>36</v>
      </c>
      <c r="M330" s="53"/>
    </row>
    <row r="331" spans="1:13" ht="51">
      <c r="A331" s="13">
        <v>328</v>
      </c>
      <c r="B331" s="14" t="s">
        <v>748</v>
      </c>
      <c r="C331" s="15" t="s">
        <v>14</v>
      </c>
      <c r="D331" s="16" t="s">
        <v>15</v>
      </c>
      <c r="E331" s="22" t="s">
        <v>749</v>
      </c>
      <c r="F331" s="15" t="s">
        <v>29</v>
      </c>
      <c r="G331" s="13"/>
      <c r="H331" s="26" t="s">
        <v>750</v>
      </c>
      <c r="I331" s="24">
        <v>1040</v>
      </c>
      <c r="J331" s="20">
        <v>42053</v>
      </c>
      <c r="K331" s="20">
        <v>42142</v>
      </c>
      <c r="L331" s="19">
        <v>1040.16</v>
      </c>
      <c r="M331" s="53"/>
    </row>
    <row r="332" spans="1:13" ht="38.25">
      <c r="A332" s="13">
        <v>329</v>
      </c>
      <c r="B332" s="14" t="s">
        <v>751</v>
      </c>
      <c r="C332" s="15" t="s">
        <v>14</v>
      </c>
      <c r="D332" s="16" t="s">
        <v>15</v>
      </c>
      <c r="E332" s="22" t="s">
        <v>752</v>
      </c>
      <c r="F332" s="15" t="s">
        <v>29</v>
      </c>
      <c r="G332" s="13"/>
      <c r="H332" s="26" t="s">
        <v>753</v>
      </c>
      <c r="I332" s="24">
        <v>330</v>
      </c>
      <c r="J332" s="20">
        <v>42072</v>
      </c>
      <c r="K332" s="20">
        <v>42094</v>
      </c>
      <c r="L332" s="19">
        <v>593.44</v>
      </c>
      <c r="M332" s="53"/>
    </row>
    <row r="333" spans="1:13" ht="38.25">
      <c r="A333" s="13">
        <v>330</v>
      </c>
      <c r="B333" s="14">
        <v>0</v>
      </c>
      <c r="C333" s="15" t="s">
        <v>14</v>
      </c>
      <c r="D333" s="16" t="s">
        <v>15</v>
      </c>
      <c r="E333" s="22" t="s">
        <v>754</v>
      </c>
      <c r="F333" s="15" t="s">
        <v>403</v>
      </c>
      <c r="G333" s="13"/>
      <c r="H333" s="26" t="s">
        <v>408</v>
      </c>
      <c r="I333" s="24">
        <v>1510</v>
      </c>
      <c r="J333" s="20">
        <v>42072</v>
      </c>
      <c r="K333" s="20">
        <v>42369</v>
      </c>
      <c r="L333" s="19">
        <f>754.98*2</f>
        <v>1509.96</v>
      </c>
      <c r="M333" s="71"/>
    </row>
    <row r="334" spans="1:13" ht="38.25">
      <c r="A334" s="13">
        <v>331</v>
      </c>
      <c r="B334" s="14">
        <v>0</v>
      </c>
      <c r="C334" s="15" t="s">
        <v>14</v>
      </c>
      <c r="D334" s="16" t="s">
        <v>15</v>
      </c>
      <c r="E334" s="22" t="s">
        <v>755</v>
      </c>
      <c r="F334" s="15" t="s">
        <v>403</v>
      </c>
      <c r="G334" s="13"/>
      <c r="H334" s="26" t="s">
        <v>408</v>
      </c>
      <c r="I334" s="24">
        <v>1500</v>
      </c>
      <c r="J334" s="20">
        <v>42072</v>
      </c>
      <c r="K334" s="20">
        <v>42369</v>
      </c>
      <c r="L334" s="19">
        <v>0</v>
      </c>
      <c r="M334" s="53"/>
    </row>
    <row r="335" spans="1:13" ht="38.25">
      <c r="A335" s="13">
        <v>332</v>
      </c>
      <c r="B335" s="14" t="s">
        <v>756</v>
      </c>
      <c r="C335" s="15" t="s">
        <v>14</v>
      </c>
      <c r="D335" s="16" t="s">
        <v>15</v>
      </c>
      <c r="E335" s="22" t="s">
        <v>757</v>
      </c>
      <c r="F335" s="15" t="s">
        <v>29</v>
      </c>
      <c r="G335" s="13"/>
      <c r="H335" s="26" t="s">
        <v>758</v>
      </c>
      <c r="I335" s="24">
        <v>10620</v>
      </c>
      <c r="J335" s="20">
        <v>42156</v>
      </c>
      <c r="K335" s="20">
        <v>43251</v>
      </c>
      <c r="L335" s="19">
        <v>5604.93</v>
      </c>
      <c r="M335" s="71"/>
    </row>
    <row r="336" spans="1:13" ht="38.25">
      <c r="A336" s="13">
        <v>333</v>
      </c>
      <c r="B336" s="14">
        <v>0</v>
      </c>
      <c r="C336" s="15" t="s">
        <v>14</v>
      </c>
      <c r="D336" s="16" t="s">
        <v>15</v>
      </c>
      <c r="E336" s="22" t="s">
        <v>759</v>
      </c>
      <c r="F336" s="15" t="s">
        <v>29</v>
      </c>
      <c r="G336" s="13"/>
      <c r="H336" s="17" t="s">
        <v>147</v>
      </c>
      <c r="I336" s="24">
        <v>150</v>
      </c>
      <c r="J336" s="20">
        <v>42115</v>
      </c>
      <c r="K336" s="20">
        <v>42369</v>
      </c>
      <c r="L336" s="19">
        <v>150</v>
      </c>
      <c r="M336" s="53"/>
    </row>
    <row r="337" spans="1:13" ht="38.25">
      <c r="A337" s="13">
        <v>334</v>
      </c>
      <c r="B337" s="14">
        <v>0</v>
      </c>
      <c r="C337" s="15" t="s">
        <v>14</v>
      </c>
      <c r="D337" s="16" t="s">
        <v>15</v>
      </c>
      <c r="E337" s="22" t="s">
        <v>760</v>
      </c>
      <c r="F337" s="15" t="s">
        <v>29</v>
      </c>
      <c r="G337" s="13"/>
      <c r="H337" s="26" t="s">
        <v>379</v>
      </c>
      <c r="I337" s="24">
        <v>60</v>
      </c>
      <c r="J337" s="20">
        <v>42115</v>
      </c>
      <c r="K337" s="20">
        <v>42369</v>
      </c>
      <c r="L337" s="19">
        <v>0</v>
      </c>
      <c r="M337" s="53"/>
    </row>
    <row r="338" spans="1:13" ht="38.25">
      <c r="A338" s="13">
        <v>335</v>
      </c>
      <c r="B338" s="14">
        <v>0</v>
      </c>
      <c r="C338" s="15" t="s">
        <v>14</v>
      </c>
      <c r="D338" s="16" t="s">
        <v>15</v>
      </c>
      <c r="E338" s="22" t="s">
        <v>761</v>
      </c>
      <c r="F338" s="15" t="s">
        <v>29</v>
      </c>
      <c r="G338" s="13"/>
      <c r="H338" s="17" t="s">
        <v>128</v>
      </c>
      <c r="I338" s="24">
        <v>44</v>
      </c>
      <c r="J338" s="20">
        <v>42115</v>
      </c>
      <c r="K338" s="20">
        <v>42369</v>
      </c>
      <c r="L338" s="19">
        <v>0</v>
      </c>
      <c r="M338" s="53"/>
    </row>
    <row r="339" spans="1:13" ht="38.25">
      <c r="A339" s="13">
        <v>336</v>
      </c>
      <c r="B339" s="14">
        <v>0</v>
      </c>
      <c r="C339" s="15" t="s">
        <v>14</v>
      </c>
      <c r="D339" s="16" t="s">
        <v>15</v>
      </c>
      <c r="E339" s="22" t="s">
        <v>762</v>
      </c>
      <c r="F339" s="15" t="s">
        <v>29</v>
      </c>
      <c r="G339" s="13"/>
      <c r="H339" s="26" t="s">
        <v>763</v>
      </c>
      <c r="I339" s="24">
        <v>2000</v>
      </c>
      <c r="J339" s="20">
        <v>42115</v>
      </c>
      <c r="K339" s="20">
        <v>42369</v>
      </c>
      <c r="L339" s="19">
        <v>1114.75</v>
      </c>
      <c r="M339" s="53"/>
    </row>
    <row r="340" spans="1:13" ht="38.25">
      <c r="A340" s="13">
        <v>337</v>
      </c>
      <c r="B340" s="14" t="s">
        <v>764</v>
      </c>
      <c r="C340" s="15" t="s">
        <v>14</v>
      </c>
      <c r="D340" s="16" t="s">
        <v>15</v>
      </c>
      <c r="E340" s="22" t="s">
        <v>765</v>
      </c>
      <c r="F340" s="15" t="s">
        <v>29</v>
      </c>
      <c r="G340" s="13"/>
      <c r="H340" s="26" t="s">
        <v>133</v>
      </c>
      <c r="I340" s="24">
        <v>14000</v>
      </c>
      <c r="J340" s="20">
        <v>42005</v>
      </c>
      <c r="K340" s="20">
        <v>43585</v>
      </c>
      <c r="L340" s="19">
        <f>3454.1+196</f>
        <v>3650.1</v>
      </c>
      <c r="M340" s="71"/>
    </row>
    <row r="341" spans="1:13" ht="38.25">
      <c r="A341" s="13">
        <v>338</v>
      </c>
      <c r="B341" s="14" t="s">
        <v>766</v>
      </c>
      <c r="C341" s="15" t="s">
        <v>14</v>
      </c>
      <c r="D341" s="16" t="s">
        <v>15</v>
      </c>
      <c r="E341" s="22" t="s">
        <v>767</v>
      </c>
      <c r="F341" s="15" t="s">
        <v>29</v>
      </c>
      <c r="G341" s="13"/>
      <c r="H341" s="26" t="s">
        <v>768</v>
      </c>
      <c r="I341" s="24">
        <v>16000</v>
      </c>
      <c r="J341" s="20">
        <v>42005</v>
      </c>
      <c r="K341" s="20">
        <v>43585</v>
      </c>
      <c r="L341" s="19">
        <v>6107.5</v>
      </c>
      <c r="M341" s="71"/>
    </row>
    <row r="342" spans="1:13" ht="38.25">
      <c r="A342" s="13">
        <v>339</v>
      </c>
      <c r="B342" s="14">
        <v>0</v>
      </c>
      <c r="C342" s="15" t="s">
        <v>14</v>
      </c>
      <c r="D342" s="16" t="s">
        <v>15</v>
      </c>
      <c r="E342" s="22" t="s">
        <v>769</v>
      </c>
      <c r="F342" s="15" t="s">
        <v>29</v>
      </c>
      <c r="G342" s="13"/>
      <c r="H342" s="26" t="s">
        <v>770</v>
      </c>
      <c r="I342" s="24">
        <v>5000</v>
      </c>
      <c r="J342" s="20">
        <v>42136</v>
      </c>
      <c r="K342" s="20">
        <v>42369</v>
      </c>
      <c r="L342" s="19">
        <v>0</v>
      </c>
      <c r="M342" s="53"/>
    </row>
    <row r="343" spans="1:13" ht="38.25">
      <c r="A343" s="13">
        <v>340</v>
      </c>
      <c r="B343" s="14" t="s">
        <v>771</v>
      </c>
      <c r="C343" s="15" t="s">
        <v>14</v>
      </c>
      <c r="D343" s="16" t="s">
        <v>15</v>
      </c>
      <c r="E343" s="22" t="s">
        <v>772</v>
      </c>
      <c r="F343" s="15" t="s">
        <v>29</v>
      </c>
      <c r="G343" s="13"/>
      <c r="H343" s="26" t="s">
        <v>773</v>
      </c>
      <c r="I343" s="24">
        <v>2900</v>
      </c>
      <c r="J343" s="20">
        <v>42142</v>
      </c>
      <c r="K343" s="20">
        <v>42155</v>
      </c>
      <c r="L343" s="24">
        <v>2900</v>
      </c>
      <c r="M343" s="53"/>
    </row>
    <row r="344" spans="1:13" ht="38.25">
      <c r="A344" s="13">
        <v>341</v>
      </c>
      <c r="B344" s="14" t="s">
        <v>774</v>
      </c>
      <c r="C344" s="15" t="s">
        <v>14</v>
      </c>
      <c r="D344" s="16" t="s">
        <v>15</v>
      </c>
      <c r="E344" s="22" t="s">
        <v>775</v>
      </c>
      <c r="F344" s="15" t="s">
        <v>29</v>
      </c>
      <c r="G344" s="13"/>
      <c r="H344" s="26" t="s">
        <v>307</v>
      </c>
      <c r="I344" s="24">
        <v>400</v>
      </c>
      <c r="J344" s="20">
        <v>42152</v>
      </c>
      <c r="K344" s="20">
        <v>42185</v>
      </c>
      <c r="L344" s="19">
        <v>0</v>
      </c>
      <c r="M344" s="53"/>
    </row>
    <row r="345" spans="1:13" ht="38.25">
      <c r="A345" s="13">
        <v>342</v>
      </c>
      <c r="B345" s="14" t="s">
        <v>776</v>
      </c>
      <c r="C345" s="15" t="s">
        <v>14</v>
      </c>
      <c r="D345" s="16" t="s">
        <v>15</v>
      </c>
      <c r="E345" s="22" t="s">
        <v>777</v>
      </c>
      <c r="F345" s="15" t="s">
        <v>29</v>
      </c>
      <c r="G345" s="13"/>
      <c r="H345" s="26" t="s">
        <v>778</v>
      </c>
      <c r="I345" s="24">
        <v>226.2</v>
      </c>
      <c r="J345" s="20">
        <v>42137</v>
      </c>
      <c r="K345" s="20">
        <v>42149</v>
      </c>
      <c r="L345" s="24">
        <v>226.2</v>
      </c>
      <c r="M345" s="53"/>
    </row>
    <row r="346" spans="1:13" ht="51">
      <c r="A346" s="13">
        <v>343</v>
      </c>
      <c r="B346" s="14" t="s">
        <v>779</v>
      </c>
      <c r="C346" s="15" t="s">
        <v>14</v>
      </c>
      <c r="D346" s="16" t="s">
        <v>15</v>
      </c>
      <c r="E346" s="22" t="s">
        <v>789</v>
      </c>
      <c r="F346" s="15" t="s">
        <v>29</v>
      </c>
      <c r="G346" s="13"/>
      <c r="H346" s="26" t="s">
        <v>863</v>
      </c>
      <c r="I346" s="24">
        <v>15022.14</v>
      </c>
      <c r="J346" s="20">
        <v>42217</v>
      </c>
      <c r="K346" s="20">
        <v>42338</v>
      </c>
      <c r="L346" s="24">
        <v>15022.14</v>
      </c>
      <c r="M346" s="53"/>
    </row>
    <row r="347" spans="1:13" ht="38.25">
      <c r="A347" s="13">
        <v>344</v>
      </c>
      <c r="B347" s="14" t="s">
        <v>780</v>
      </c>
      <c r="C347" s="15" t="s">
        <v>14</v>
      </c>
      <c r="D347" s="16" t="s">
        <v>15</v>
      </c>
      <c r="E347" s="22" t="s">
        <v>781</v>
      </c>
      <c r="F347" s="15" t="s">
        <v>29</v>
      </c>
      <c r="G347" s="13"/>
      <c r="H347" s="26" t="s">
        <v>782</v>
      </c>
      <c r="I347" s="24">
        <v>11607.2</v>
      </c>
      <c r="J347" s="20">
        <v>42217</v>
      </c>
      <c r="K347" s="20">
        <v>42308</v>
      </c>
      <c r="L347" s="19">
        <v>0</v>
      </c>
      <c r="M347" s="53"/>
    </row>
    <row r="348" spans="1:13" ht="38.25">
      <c r="A348" s="13">
        <v>345</v>
      </c>
      <c r="B348" s="14" t="s">
        <v>783</v>
      </c>
      <c r="C348" s="15" t="s">
        <v>14</v>
      </c>
      <c r="D348" s="16" t="s">
        <v>15</v>
      </c>
      <c r="E348" s="22" t="s">
        <v>784</v>
      </c>
      <c r="F348" s="15" t="s">
        <v>29</v>
      </c>
      <c r="G348" s="13"/>
      <c r="H348" s="26" t="s">
        <v>587</v>
      </c>
      <c r="I348" s="24">
        <v>384</v>
      </c>
      <c r="J348" s="20">
        <v>42248</v>
      </c>
      <c r="K348" s="20">
        <v>42613</v>
      </c>
      <c r="L348" s="19">
        <v>0</v>
      </c>
      <c r="M348" s="53"/>
    </row>
    <row r="349" spans="1:13" ht="38.25">
      <c r="A349" s="13">
        <v>346</v>
      </c>
      <c r="B349" s="14" t="s">
        <v>785</v>
      </c>
      <c r="C349" s="15" t="s">
        <v>14</v>
      </c>
      <c r="D349" s="16" t="s">
        <v>15</v>
      </c>
      <c r="E349" s="22" t="s">
        <v>786</v>
      </c>
      <c r="F349" s="15" t="s">
        <v>29</v>
      </c>
      <c r="G349" s="13"/>
      <c r="H349" s="26" t="s">
        <v>587</v>
      </c>
      <c r="I349" s="24">
        <v>750</v>
      </c>
      <c r="J349" s="20">
        <v>42248</v>
      </c>
      <c r="K349" s="20">
        <v>42613</v>
      </c>
      <c r="L349" s="19">
        <v>621</v>
      </c>
      <c r="M349" s="71"/>
    </row>
    <row r="350" spans="1:13" ht="38.25">
      <c r="A350" s="13">
        <v>347</v>
      </c>
      <c r="B350" s="14" t="s">
        <v>787</v>
      </c>
      <c r="C350" s="15" t="s">
        <v>14</v>
      </c>
      <c r="D350" s="16" t="s">
        <v>15</v>
      </c>
      <c r="E350" s="22" t="s">
        <v>788</v>
      </c>
      <c r="F350" s="15" t="s">
        <v>29</v>
      </c>
      <c r="G350" s="13"/>
      <c r="H350" s="26" t="s">
        <v>587</v>
      </c>
      <c r="I350" s="24">
        <v>1000</v>
      </c>
      <c r="J350" s="20">
        <v>42248</v>
      </c>
      <c r="K350" s="20">
        <v>42613</v>
      </c>
      <c r="L350" s="19">
        <f>7866.82+17216</f>
        <v>25082.82</v>
      </c>
      <c r="M350" s="71"/>
    </row>
    <row r="351" spans="1:13" ht="38.25">
      <c r="A351" s="13">
        <v>348</v>
      </c>
      <c r="B351" s="14" t="s">
        <v>790</v>
      </c>
      <c r="C351" s="15" t="s">
        <v>14</v>
      </c>
      <c r="D351" s="16" t="s">
        <v>15</v>
      </c>
      <c r="E351" s="22" t="s">
        <v>791</v>
      </c>
      <c r="F351" s="15" t="s">
        <v>29</v>
      </c>
      <c r="G351" s="13"/>
      <c r="H351" s="26" t="s">
        <v>792</v>
      </c>
      <c r="I351" s="24">
        <v>3500</v>
      </c>
      <c r="J351" s="20">
        <v>42263</v>
      </c>
      <c r="K351" s="20">
        <v>42320</v>
      </c>
      <c r="L351" s="19">
        <v>3500</v>
      </c>
      <c r="M351" s="71"/>
    </row>
    <row r="352" spans="1:13" ht="38.25">
      <c r="A352" s="13">
        <v>349</v>
      </c>
      <c r="B352" s="14" t="s">
        <v>793</v>
      </c>
      <c r="C352" s="15" t="s">
        <v>14</v>
      </c>
      <c r="D352" s="16" t="s">
        <v>15</v>
      </c>
      <c r="E352" s="22" t="s">
        <v>597</v>
      </c>
      <c r="F352" s="15" t="s">
        <v>29</v>
      </c>
      <c r="G352" s="13"/>
      <c r="H352" s="26" t="s">
        <v>587</v>
      </c>
      <c r="I352" s="24">
        <v>5000</v>
      </c>
      <c r="J352" s="20">
        <v>42274</v>
      </c>
      <c r="K352" s="20">
        <v>42639</v>
      </c>
      <c r="L352" s="19">
        <v>25.76</v>
      </c>
      <c r="M352" s="71"/>
    </row>
    <row r="353" spans="1:13" ht="76.5">
      <c r="A353" s="13">
        <v>350</v>
      </c>
      <c r="B353" s="14" t="s">
        <v>724</v>
      </c>
      <c r="C353" s="15" t="s">
        <v>14</v>
      </c>
      <c r="D353" s="16" t="s">
        <v>15</v>
      </c>
      <c r="E353" s="22" t="s">
        <v>794</v>
      </c>
      <c r="F353" s="15" t="s">
        <v>29</v>
      </c>
      <c r="G353" s="13"/>
      <c r="H353" s="26" t="s">
        <v>795</v>
      </c>
      <c r="I353" s="24">
        <v>3640</v>
      </c>
      <c r="J353" s="20">
        <v>42275</v>
      </c>
      <c r="K353" s="20">
        <v>42521</v>
      </c>
      <c r="L353" s="19">
        <f>5983.92+3740.8</f>
        <v>9724.720000000001</v>
      </c>
      <c r="M353" s="71"/>
    </row>
    <row r="354" spans="1:13" ht="38.25">
      <c r="A354" s="13">
        <v>351</v>
      </c>
      <c r="B354" s="14" t="s">
        <v>796</v>
      </c>
      <c r="C354" s="15" t="s">
        <v>14</v>
      </c>
      <c r="D354" s="16" t="s">
        <v>15</v>
      </c>
      <c r="E354" s="22" t="s">
        <v>797</v>
      </c>
      <c r="F354" s="15" t="s">
        <v>29</v>
      </c>
      <c r="G354" s="13"/>
      <c r="H354" s="26" t="s">
        <v>739</v>
      </c>
      <c r="I354" s="24">
        <v>591.42</v>
      </c>
      <c r="J354" s="20">
        <v>42276</v>
      </c>
      <c r="K354" s="20">
        <v>42293</v>
      </c>
      <c r="L354" s="19">
        <f>359.65+46</f>
        <v>405.65</v>
      </c>
      <c r="M354" s="71"/>
    </row>
    <row r="355" spans="1:13" ht="38.25">
      <c r="A355" s="13">
        <v>352</v>
      </c>
      <c r="B355" s="14" t="s">
        <v>798</v>
      </c>
      <c r="C355" s="15" t="s">
        <v>14</v>
      </c>
      <c r="D355" s="16" t="s">
        <v>15</v>
      </c>
      <c r="E355" s="22" t="s">
        <v>799</v>
      </c>
      <c r="F355" s="15" t="s">
        <v>57</v>
      </c>
      <c r="G355" s="13"/>
      <c r="H355" s="26" t="s">
        <v>200</v>
      </c>
      <c r="I355" s="24">
        <v>39900</v>
      </c>
      <c r="J355" s="20">
        <v>42370</v>
      </c>
      <c r="K355" s="20">
        <v>42735</v>
      </c>
      <c r="L355" s="19">
        <v>43916.52</v>
      </c>
      <c r="M355" s="71"/>
    </row>
    <row r="356" spans="1:13" ht="51">
      <c r="A356" s="13">
        <v>353</v>
      </c>
      <c r="B356" s="14" t="s">
        <v>800</v>
      </c>
      <c r="C356" s="15" t="s">
        <v>14</v>
      </c>
      <c r="D356" s="16" t="s">
        <v>15</v>
      </c>
      <c r="E356" s="22" t="s">
        <v>801</v>
      </c>
      <c r="F356" s="15" t="s">
        <v>29</v>
      </c>
      <c r="G356" s="13"/>
      <c r="H356" s="26" t="s">
        <v>283</v>
      </c>
      <c r="I356" s="24">
        <v>8115</v>
      </c>
      <c r="J356" s="20">
        <v>42304</v>
      </c>
      <c r="K356" s="20">
        <v>42324</v>
      </c>
      <c r="L356" s="24">
        <v>8115</v>
      </c>
      <c r="M356" s="53"/>
    </row>
    <row r="357" spans="1:13" ht="38.25">
      <c r="A357" s="13">
        <v>354</v>
      </c>
      <c r="B357" s="14" t="s">
        <v>802</v>
      </c>
      <c r="C357" s="15" t="s">
        <v>14</v>
      </c>
      <c r="D357" s="16" t="s">
        <v>15</v>
      </c>
      <c r="E357" s="22" t="s">
        <v>803</v>
      </c>
      <c r="F357" s="15" t="s">
        <v>29</v>
      </c>
      <c r="G357" s="13"/>
      <c r="H357" s="26" t="s">
        <v>804</v>
      </c>
      <c r="I357" s="19">
        <v>0</v>
      </c>
      <c r="J357" s="20">
        <v>42370</v>
      </c>
      <c r="K357" s="20">
        <v>43100</v>
      </c>
      <c r="L357" s="19">
        <v>0</v>
      </c>
      <c r="M357" s="53"/>
    </row>
    <row r="358" spans="1:13" ht="38.25">
      <c r="A358" s="13">
        <v>355</v>
      </c>
      <c r="B358" s="14" t="s">
        <v>271</v>
      </c>
      <c r="C358" s="15" t="s">
        <v>14</v>
      </c>
      <c r="D358" s="16" t="s">
        <v>15</v>
      </c>
      <c r="E358" s="22" t="s">
        <v>805</v>
      </c>
      <c r="F358" s="15" t="s">
        <v>29</v>
      </c>
      <c r="G358" s="13"/>
      <c r="H358" s="26" t="s">
        <v>806</v>
      </c>
      <c r="I358" s="24">
        <v>0</v>
      </c>
      <c r="J358" s="20">
        <v>42370</v>
      </c>
      <c r="K358" s="20">
        <v>42460</v>
      </c>
      <c r="L358" s="19">
        <v>0</v>
      </c>
      <c r="M358" s="53"/>
    </row>
    <row r="359" spans="1:13" ht="38.25">
      <c r="A359" s="13">
        <v>356</v>
      </c>
      <c r="B359" s="14" t="s">
        <v>807</v>
      </c>
      <c r="C359" s="15" t="s">
        <v>14</v>
      </c>
      <c r="D359" s="16" t="s">
        <v>15</v>
      </c>
      <c r="E359" s="22" t="s">
        <v>808</v>
      </c>
      <c r="F359" s="15" t="s">
        <v>29</v>
      </c>
      <c r="G359" s="13"/>
      <c r="H359" s="26" t="s">
        <v>809</v>
      </c>
      <c r="I359" s="24">
        <v>413.16</v>
      </c>
      <c r="J359" s="20">
        <v>42370</v>
      </c>
      <c r="K359" s="20">
        <v>43069</v>
      </c>
      <c r="L359" s="19">
        <v>413.16</v>
      </c>
      <c r="M359" s="71"/>
    </row>
    <row r="360" spans="1:13" ht="51">
      <c r="A360" s="13">
        <v>357</v>
      </c>
      <c r="B360" s="14" t="s">
        <v>810</v>
      </c>
      <c r="C360" s="15" t="s">
        <v>14</v>
      </c>
      <c r="D360" s="16" t="s">
        <v>15</v>
      </c>
      <c r="E360" s="22" t="s">
        <v>811</v>
      </c>
      <c r="F360" s="15" t="s">
        <v>29</v>
      </c>
      <c r="G360" s="13"/>
      <c r="H360" s="26" t="s">
        <v>812</v>
      </c>
      <c r="I360" s="24">
        <v>290</v>
      </c>
      <c r="J360" s="20">
        <v>42026</v>
      </c>
      <c r="K360" s="20">
        <v>42073</v>
      </c>
      <c r="L360" s="24">
        <v>290</v>
      </c>
      <c r="M360" s="53"/>
    </row>
    <row r="361" spans="1:13" ht="38.25">
      <c r="A361" s="13">
        <v>358</v>
      </c>
      <c r="B361" s="14" t="s">
        <v>813</v>
      </c>
      <c r="C361" s="15" t="s">
        <v>14</v>
      </c>
      <c r="D361" s="16" t="s">
        <v>15</v>
      </c>
      <c r="E361" s="22" t="s">
        <v>814</v>
      </c>
      <c r="F361" s="15" t="s">
        <v>29</v>
      </c>
      <c r="G361" s="13"/>
      <c r="H361" s="26" t="s">
        <v>815</v>
      </c>
      <c r="I361" s="24">
        <v>290</v>
      </c>
      <c r="J361" s="20">
        <v>42292</v>
      </c>
      <c r="K361" s="20">
        <v>42299</v>
      </c>
      <c r="L361" s="24">
        <v>290</v>
      </c>
      <c r="M361" s="53"/>
    </row>
    <row r="362" spans="1:13" ht="38.25">
      <c r="A362" s="13">
        <v>359</v>
      </c>
      <c r="B362" s="14">
        <v>0</v>
      </c>
      <c r="C362" s="15" t="s">
        <v>14</v>
      </c>
      <c r="D362" s="16" t="s">
        <v>15</v>
      </c>
      <c r="E362" s="22" t="s">
        <v>816</v>
      </c>
      <c r="F362" s="15" t="s">
        <v>403</v>
      </c>
      <c r="G362" s="13"/>
      <c r="H362" s="26" t="s">
        <v>408</v>
      </c>
      <c r="I362" s="24">
        <v>0</v>
      </c>
      <c r="J362" s="20" t="s">
        <v>39</v>
      </c>
      <c r="K362" s="20" t="s">
        <v>39</v>
      </c>
      <c r="L362" s="19">
        <v>4730.33</v>
      </c>
      <c r="M362" s="53"/>
    </row>
    <row r="363" spans="1:13" ht="38.25">
      <c r="A363" s="13">
        <v>360</v>
      </c>
      <c r="B363" s="14" t="s">
        <v>817</v>
      </c>
      <c r="C363" s="15" t="s">
        <v>14</v>
      </c>
      <c r="D363" s="16" t="s">
        <v>15</v>
      </c>
      <c r="E363" s="22" t="s">
        <v>818</v>
      </c>
      <c r="F363" s="15" t="s">
        <v>29</v>
      </c>
      <c r="G363" s="13"/>
      <c r="H363" s="26" t="s">
        <v>819</v>
      </c>
      <c r="I363" s="24">
        <v>300</v>
      </c>
      <c r="J363" s="20">
        <v>42342</v>
      </c>
      <c r="K363" s="20">
        <v>42342</v>
      </c>
      <c r="L363" s="19">
        <v>300</v>
      </c>
      <c r="M363" s="71"/>
    </row>
    <row r="364" spans="1:13" ht="38.25">
      <c r="A364" s="13">
        <v>361</v>
      </c>
      <c r="B364" s="14" t="s">
        <v>820</v>
      </c>
      <c r="C364" s="15" t="s">
        <v>14</v>
      </c>
      <c r="D364" s="16" t="s">
        <v>15</v>
      </c>
      <c r="E364" s="22" t="s">
        <v>821</v>
      </c>
      <c r="F364" s="15" t="s">
        <v>29</v>
      </c>
      <c r="G364" s="13"/>
      <c r="H364" s="26" t="s">
        <v>822</v>
      </c>
      <c r="I364" s="24">
        <v>150</v>
      </c>
      <c r="J364" s="20">
        <v>42347</v>
      </c>
      <c r="K364" s="20">
        <v>42347</v>
      </c>
      <c r="L364" s="24">
        <v>150</v>
      </c>
      <c r="M364" s="71"/>
    </row>
    <row r="365" spans="1:13" ht="38.25">
      <c r="A365" s="13">
        <v>362</v>
      </c>
      <c r="B365" s="14" t="s">
        <v>823</v>
      </c>
      <c r="C365" s="15" t="s">
        <v>14</v>
      </c>
      <c r="D365" s="16" t="s">
        <v>15</v>
      </c>
      <c r="E365" s="22" t="s">
        <v>824</v>
      </c>
      <c r="F365" s="15" t="s">
        <v>29</v>
      </c>
      <c r="G365" s="13"/>
      <c r="H365" s="26" t="s">
        <v>825</v>
      </c>
      <c r="I365" s="24">
        <v>100</v>
      </c>
      <c r="J365" s="20">
        <v>42353</v>
      </c>
      <c r="K365" s="20">
        <v>42353</v>
      </c>
      <c r="L365" s="19">
        <v>0</v>
      </c>
      <c r="M365" s="53"/>
    </row>
    <row r="366" spans="1:13" ht="38.25">
      <c r="A366" s="13">
        <v>363</v>
      </c>
      <c r="B366" s="14" t="s">
        <v>826</v>
      </c>
      <c r="C366" s="15" t="s">
        <v>14</v>
      </c>
      <c r="D366" s="16" t="s">
        <v>15</v>
      </c>
      <c r="E366" s="22" t="s">
        <v>827</v>
      </c>
      <c r="F366" s="15" t="s">
        <v>29</v>
      </c>
      <c r="G366" s="13"/>
      <c r="H366" s="26" t="s">
        <v>828</v>
      </c>
      <c r="I366" s="24">
        <v>948.89</v>
      </c>
      <c r="J366" s="20">
        <v>42355</v>
      </c>
      <c r="K366" s="20">
        <v>42369</v>
      </c>
      <c r="L366" s="24">
        <v>948.89</v>
      </c>
      <c r="M366" s="71"/>
    </row>
    <row r="367" spans="1:13" ht="38.25">
      <c r="A367" s="13">
        <v>364</v>
      </c>
      <c r="B367" s="14" t="s">
        <v>656</v>
      </c>
      <c r="C367" s="15" t="s">
        <v>14</v>
      </c>
      <c r="D367" s="16" t="s">
        <v>15</v>
      </c>
      <c r="E367" s="22" t="s">
        <v>829</v>
      </c>
      <c r="F367" s="15" t="s">
        <v>29</v>
      </c>
      <c r="G367" s="13"/>
      <c r="H367" s="26" t="s">
        <v>54</v>
      </c>
      <c r="I367" s="24">
        <v>1104</v>
      </c>
      <c r="J367" s="20">
        <v>42355</v>
      </c>
      <c r="K367" s="20">
        <v>42369</v>
      </c>
      <c r="L367" s="19">
        <v>0</v>
      </c>
      <c r="M367" s="53"/>
    </row>
    <row r="368" spans="1:13" ht="60" customHeight="1">
      <c r="A368" s="13">
        <v>365</v>
      </c>
      <c r="B368" s="14" t="s">
        <v>830</v>
      </c>
      <c r="C368" s="15" t="s">
        <v>14</v>
      </c>
      <c r="D368" s="16" t="s">
        <v>15</v>
      </c>
      <c r="E368" s="22" t="s">
        <v>831</v>
      </c>
      <c r="F368" s="15" t="s">
        <v>29</v>
      </c>
      <c r="G368" s="13"/>
      <c r="H368" s="26" t="s">
        <v>832</v>
      </c>
      <c r="I368" s="24">
        <v>7961</v>
      </c>
      <c r="J368" s="20">
        <v>42370</v>
      </c>
      <c r="K368" s="20">
        <v>42735</v>
      </c>
      <c r="L368" s="19">
        <v>6586</v>
      </c>
      <c r="M368" s="71"/>
    </row>
    <row r="369" spans="1:13" ht="38.25">
      <c r="A369" s="13">
        <v>366</v>
      </c>
      <c r="B369" s="14">
        <v>0</v>
      </c>
      <c r="C369" s="15" t="s">
        <v>14</v>
      </c>
      <c r="D369" s="16" t="s">
        <v>15</v>
      </c>
      <c r="E369" s="22" t="s">
        <v>833</v>
      </c>
      <c r="F369" s="15" t="s">
        <v>29</v>
      </c>
      <c r="G369" s="13"/>
      <c r="H369" s="26" t="s">
        <v>834</v>
      </c>
      <c r="I369" s="24">
        <v>900</v>
      </c>
      <c r="J369" s="20">
        <v>42349</v>
      </c>
      <c r="K369" s="20">
        <v>42428</v>
      </c>
      <c r="L369" s="19">
        <v>0</v>
      </c>
      <c r="M369" s="53"/>
    </row>
    <row r="370" spans="1:13" ht="38.25">
      <c r="A370" s="13">
        <v>367</v>
      </c>
      <c r="B370" s="14" t="s">
        <v>835</v>
      </c>
      <c r="C370" s="15" t="s">
        <v>14</v>
      </c>
      <c r="D370" s="16" t="s">
        <v>15</v>
      </c>
      <c r="E370" s="22" t="s">
        <v>741</v>
      </c>
      <c r="F370" s="15" t="s">
        <v>29</v>
      </c>
      <c r="G370" s="13"/>
      <c r="H370" s="17" t="s">
        <v>250</v>
      </c>
      <c r="I370" s="24">
        <v>16200</v>
      </c>
      <c r="J370" s="20">
        <v>42370</v>
      </c>
      <c r="K370" s="20">
        <v>42735</v>
      </c>
      <c r="L370" s="24">
        <v>16200</v>
      </c>
      <c r="M370" s="71"/>
    </row>
    <row r="371" spans="1:13" ht="38.25">
      <c r="A371" s="13">
        <v>368</v>
      </c>
      <c r="B371" s="14" t="s">
        <v>836</v>
      </c>
      <c r="C371" s="15" t="s">
        <v>14</v>
      </c>
      <c r="D371" s="16" t="s">
        <v>15</v>
      </c>
      <c r="E371" s="22" t="s">
        <v>837</v>
      </c>
      <c r="F371" s="15" t="s">
        <v>29</v>
      </c>
      <c r="G371" s="13"/>
      <c r="H371" s="26" t="s">
        <v>838</v>
      </c>
      <c r="I371" s="24">
        <v>12000</v>
      </c>
      <c r="J371" s="20">
        <v>42370</v>
      </c>
      <c r="K371" s="20">
        <v>43100</v>
      </c>
      <c r="L371" s="19">
        <v>4878.41</v>
      </c>
      <c r="M371" s="71"/>
    </row>
    <row r="372" spans="1:13" ht="38.25">
      <c r="A372" s="13">
        <v>369</v>
      </c>
      <c r="B372" s="14" t="s">
        <v>839</v>
      </c>
      <c r="C372" s="15" t="s">
        <v>14</v>
      </c>
      <c r="D372" s="16" t="s">
        <v>15</v>
      </c>
      <c r="E372" s="22" t="s">
        <v>840</v>
      </c>
      <c r="F372" s="15" t="s">
        <v>29</v>
      </c>
      <c r="G372" s="13"/>
      <c r="H372" s="17" t="s">
        <v>841</v>
      </c>
      <c r="I372" s="24">
        <v>5500</v>
      </c>
      <c r="J372" s="20">
        <v>42401</v>
      </c>
      <c r="K372" s="20">
        <v>42735</v>
      </c>
      <c r="L372" s="24">
        <v>5500</v>
      </c>
      <c r="M372" s="71"/>
    </row>
    <row r="373" spans="1:13" ht="41.25" customHeight="1">
      <c r="A373" s="13">
        <v>370</v>
      </c>
      <c r="B373" s="14">
        <v>0</v>
      </c>
      <c r="C373" s="15" t="s">
        <v>14</v>
      </c>
      <c r="D373" s="16" t="s">
        <v>15</v>
      </c>
      <c r="E373" s="22" t="s">
        <v>396</v>
      </c>
      <c r="F373" s="15" t="s">
        <v>57</v>
      </c>
      <c r="G373" s="13"/>
      <c r="H373" s="26" t="s">
        <v>38</v>
      </c>
      <c r="I373" s="24">
        <v>0</v>
      </c>
      <c r="J373" s="20">
        <v>42370</v>
      </c>
      <c r="K373" s="20">
        <v>42735</v>
      </c>
      <c r="L373" s="19">
        <v>623.5</v>
      </c>
      <c r="M373" s="71"/>
    </row>
    <row r="374" spans="1:13" ht="38.25">
      <c r="A374" s="13">
        <v>371</v>
      </c>
      <c r="B374" s="14" t="s">
        <v>842</v>
      </c>
      <c r="C374" s="15" t="s">
        <v>14</v>
      </c>
      <c r="D374" s="16" t="s">
        <v>15</v>
      </c>
      <c r="E374" s="22" t="s">
        <v>843</v>
      </c>
      <c r="F374" s="15" t="s">
        <v>29</v>
      </c>
      <c r="G374" s="13"/>
      <c r="H374" s="26" t="s">
        <v>490</v>
      </c>
      <c r="I374" s="24">
        <v>2375</v>
      </c>
      <c r="J374" s="20">
        <v>42370</v>
      </c>
      <c r="K374" s="20">
        <v>42735</v>
      </c>
      <c r="L374" s="24">
        <v>2375</v>
      </c>
      <c r="M374" s="71"/>
    </row>
    <row r="375" spans="1:13" ht="38.25">
      <c r="A375" s="36">
        <v>372</v>
      </c>
      <c r="B375" s="14" t="s">
        <v>845</v>
      </c>
      <c r="C375" s="15" t="s">
        <v>14</v>
      </c>
      <c r="D375" s="16" t="s">
        <v>15</v>
      </c>
      <c r="E375" s="22" t="s">
        <v>846</v>
      </c>
      <c r="F375" s="15" t="s">
        <v>29</v>
      </c>
      <c r="G375" s="13"/>
      <c r="H375" s="26" t="s">
        <v>61</v>
      </c>
      <c r="I375" s="24">
        <v>7550</v>
      </c>
      <c r="J375" s="20">
        <v>42370</v>
      </c>
      <c r="K375" s="20">
        <v>42735</v>
      </c>
      <c r="L375" s="19">
        <v>4212.6</v>
      </c>
      <c r="M375" s="53"/>
    </row>
    <row r="376" spans="1:13" ht="38.25">
      <c r="A376" s="36">
        <v>373</v>
      </c>
      <c r="B376" s="14" t="s">
        <v>847</v>
      </c>
      <c r="C376" s="15" t="s">
        <v>14</v>
      </c>
      <c r="D376" s="16" t="s">
        <v>15</v>
      </c>
      <c r="E376" s="22" t="s">
        <v>848</v>
      </c>
      <c r="F376" s="15" t="s">
        <v>29</v>
      </c>
      <c r="G376" s="13"/>
      <c r="H376" s="17" t="s">
        <v>253</v>
      </c>
      <c r="I376" s="24">
        <v>2868.85</v>
      </c>
      <c r="J376" s="20">
        <v>42401</v>
      </c>
      <c r="K376" s="20">
        <v>42735</v>
      </c>
      <c r="L376" s="19">
        <v>0</v>
      </c>
      <c r="M376" s="53"/>
    </row>
    <row r="377" spans="1:13" ht="38.25">
      <c r="A377" s="36">
        <v>374</v>
      </c>
      <c r="B377" s="14" t="s">
        <v>849</v>
      </c>
      <c r="C377" s="15" t="s">
        <v>14</v>
      </c>
      <c r="D377" s="16" t="s">
        <v>15</v>
      </c>
      <c r="E377" s="22" t="s">
        <v>734</v>
      </c>
      <c r="F377" s="15" t="s">
        <v>29</v>
      </c>
      <c r="G377" s="13"/>
      <c r="H377" s="37" t="s">
        <v>193</v>
      </c>
      <c r="I377" s="24">
        <v>4000</v>
      </c>
      <c r="J377" s="20">
        <v>42461</v>
      </c>
      <c r="K377" s="20">
        <v>42825</v>
      </c>
      <c r="L377" s="19">
        <v>777.79</v>
      </c>
      <c r="M377" s="53"/>
    </row>
    <row r="378" spans="1:13" ht="38.25">
      <c r="A378" s="36">
        <v>375</v>
      </c>
      <c r="B378" s="14" t="s">
        <v>850</v>
      </c>
      <c r="C378" s="15" t="s">
        <v>14</v>
      </c>
      <c r="D378" s="16" t="s">
        <v>15</v>
      </c>
      <c r="E378" s="22" t="s">
        <v>752</v>
      </c>
      <c r="F378" s="15" t="s">
        <v>29</v>
      </c>
      <c r="G378" s="13"/>
      <c r="H378" s="17" t="s">
        <v>233</v>
      </c>
      <c r="I378" s="24">
        <v>341</v>
      </c>
      <c r="J378" s="20">
        <v>42416</v>
      </c>
      <c r="K378" s="20">
        <v>42429</v>
      </c>
      <c r="L378" s="19">
        <v>828.5</v>
      </c>
      <c r="M378" s="53"/>
    </row>
    <row r="379" spans="1:13" ht="38.25">
      <c r="A379" s="36">
        <v>376</v>
      </c>
      <c r="B379" s="14" t="s">
        <v>851</v>
      </c>
      <c r="C379" s="15" t="s">
        <v>14</v>
      </c>
      <c r="D379" s="16" t="s">
        <v>15</v>
      </c>
      <c r="E379" s="22" t="s">
        <v>852</v>
      </c>
      <c r="F379" s="15" t="s">
        <v>29</v>
      </c>
      <c r="G379" s="13"/>
      <c r="H379" s="17" t="s">
        <v>128</v>
      </c>
      <c r="I379" s="24">
        <v>8000</v>
      </c>
      <c r="J379" s="20">
        <v>42370</v>
      </c>
      <c r="K379" s="20">
        <v>42735</v>
      </c>
      <c r="L379" s="24">
        <v>8000</v>
      </c>
      <c r="M379" s="53"/>
    </row>
    <row r="380" spans="1:13" ht="38.25">
      <c r="A380" s="36">
        <v>377</v>
      </c>
      <c r="B380" s="14">
        <v>0</v>
      </c>
      <c r="C380" s="15" t="s">
        <v>14</v>
      </c>
      <c r="D380" s="16" t="s">
        <v>15</v>
      </c>
      <c r="E380" s="22" t="s">
        <v>853</v>
      </c>
      <c r="F380" s="15" t="s">
        <v>403</v>
      </c>
      <c r="G380" s="13"/>
      <c r="H380" s="26" t="s">
        <v>408</v>
      </c>
      <c r="I380" s="24">
        <v>32600</v>
      </c>
      <c r="J380" s="20">
        <v>42436</v>
      </c>
      <c r="K380" s="20">
        <v>42735</v>
      </c>
      <c r="L380" s="19">
        <v>3625</v>
      </c>
      <c r="M380" s="53"/>
    </row>
    <row r="381" spans="1:13" ht="38.25">
      <c r="A381" s="36">
        <v>378</v>
      </c>
      <c r="B381" s="14" t="s">
        <v>854</v>
      </c>
      <c r="C381" s="15" t="s">
        <v>14</v>
      </c>
      <c r="D381" s="16" t="s">
        <v>15</v>
      </c>
      <c r="E381" s="22" t="s">
        <v>855</v>
      </c>
      <c r="F381" s="15" t="s">
        <v>29</v>
      </c>
      <c r="G381" s="13"/>
      <c r="H381" s="26" t="s">
        <v>819</v>
      </c>
      <c r="I381" s="24">
        <v>180</v>
      </c>
      <c r="J381" s="20">
        <v>42460</v>
      </c>
      <c r="K381" s="20">
        <v>42460</v>
      </c>
      <c r="L381" s="19">
        <v>180</v>
      </c>
      <c r="M381" s="53"/>
    </row>
    <row r="382" spans="1:13" ht="38.25">
      <c r="A382" s="36">
        <v>379</v>
      </c>
      <c r="B382" s="14" t="s">
        <v>626</v>
      </c>
      <c r="C382" s="15" t="s">
        <v>14</v>
      </c>
      <c r="D382" s="16" t="s">
        <v>15</v>
      </c>
      <c r="E382" s="22" t="s">
        <v>856</v>
      </c>
      <c r="F382" s="15" t="s">
        <v>29</v>
      </c>
      <c r="G382" s="13"/>
      <c r="H382" s="26" t="s">
        <v>857</v>
      </c>
      <c r="I382" s="24">
        <v>8250</v>
      </c>
      <c r="J382" s="20">
        <v>42430</v>
      </c>
      <c r="K382" s="20">
        <v>43100</v>
      </c>
      <c r="L382" s="19">
        <v>0</v>
      </c>
      <c r="M382" s="53"/>
    </row>
    <row r="383" spans="1:13" ht="38.25">
      <c r="A383" s="36">
        <v>380</v>
      </c>
      <c r="B383" s="14" t="s">
        <v>858</v>
      </c>
      <c r="C383" s="15" t="s">
        <v>14</v>
      </c>
      <c r="D383" s="16" t="s">
        <v>15</v>
      </c>
      <c r="E383" s="22" t="s">
        <v>859</v>
      </c>
      <c r="F383" s="15" t="s">
        <v>29</v>
      </c>
      <c r="G383" s="13"/>
      <c r="H383" s="26" t="s">
        <v>860</v>
      </c>
      <c r="I383" s="24">
        <v>5000.05</v>
      </c>
      <c r="J383" s="20">
        <v>42447</v>
      </c>
      <c r="K383" s="20">
        <v>42465</v>
      </c>
      <c r="L383" s="19">
        <v>4532.04</v>
      </c>
      <c r="M383" s="53"/>
    </row>
    <row r="384" spans="1:13" ht="38.25">
      <c r="A384" s="36">
        <v>381</v>
      </c>
      <c r="B384" s="14" t="s">
        <v>861</v>
      </c>
      <c r="C384" s="15" t="s">
        <v>14</v>
      </c>
      <c r="D384" s="16" t="s">
        <v>15</v>
      </c>
      <c r="E384" s="22" t="s">
        <v>862</v>
      </c>
      <c r="F384" s="15" t="s">
        <v>29</v>
      </c>
      <c r="G384" s="13"/>
      <c r="H384" s="26" t="s">
        <v>863</v>
      </c>
      <c r="I384" s="24">
        <v>18150</v>
      </c>
      <c r="J384" s="20">
        <v>42492</v>
      </c>
      <c r="K384" s="20">
        <v>42643</v>
      </c>
      <c r="L384" s="19">
        <v>17700</v>
      </c>
      <c r="M384" s="53"/>
    </row>
    <row r="385" spans="1:13" ht="38.25">
      <c r="A385" s="36">
        <v>382</v>
      </c>
      <c r="B385" s="14" t="s">
        <v>864</v>
      </c>
      <c r="C385" s="15" t="s">
        <v>14</v>
      </c>
      <c r="D385" s="16" t="s">
        <v>15</v>
      </c>
      <c r="E385" s="22" t="s">
        <v>865</v>
      </c>
      <c r="F385" s="15" t="s">
        <v>29</v>
      </c>
      <c r="G385" s="13"/>
      <c r="H385" s="26" t="s">
        <v>863</v>
      </c>
      <c r="I385" s="24">
        <v>39974.24</v>
      </c>
      <c r="J385" s="20">
        <v>42478</v>
      </c>
      <c r="K385" s="20">
        <v>42643</v>
      </c>
      <c r="L385" s="19">
        <v>40174.2</v>
      </c>
      <c r="M385" s="53"/>
    </row>
    <row r="386" spans="1:13" ht="38.25">
      <c r="A386" s="36">
        <v>383</v>
      </c>
      <c r="B386" s="14" t="s">
        <v>866</v>
      </c>
      <c r="C386" s="15" t="s">
        <v>14</v>
      </c>
      <c r="D386" s="16" t="s">
        <v>15</v>
      </c>
      <c r="E386" s="22" t="s">
        <v>867</v>
      </c>
      <c r="F386" s="15" t="s">
        <v>29</v>
      </c>
      <c r="G386" s="13"/>
      <c r="H386" s="26" t="s">
        <v>868</v>
      </c>
      <c r="I386" s="24">
        <v>25500</v>
      </c>
      <c r="J386" s="20">
        <v>42489</v>
      </c>
      <c r="K386" s="20">
        <v>42526</v>
      </c>
      <c r="L386" s="24">
        <v>25500</v>
      </c>
      <c r="M386" s="53"/>
    </row>
    <row r="387" spans="1:13" ht="38.25">
      <c r="A387" s="36">
        <v>384</v>
      </c>
      <c r="B387" s="14" t="s">
        <v>869</v>
      </c>
      <c r="C387" s="15" t="s">
        <v>14</v>
      </c>
      <c r="D387" s="16" t="s">
        <v>15</v>
      </c>
      <c r="E387" s="22" t="s">
        <v>870</v>
      </c>
      <c r="F387" s="15" t="s">
        <v>29</v>
      </c>
      <c r="G387" s="13"/>
      <c r="H387" s="26" t="s">
        <v>871</v>
      </c>
      <c r="I387" s="24">
        <v>7875</v>
      </c>
      <c r="J387" s="20">
        <v>42795</v>
      </c>
      <c r="K387" s="20">
        <v>42825</v>
      </c>
      <c r="L387" s="19">
        <v>0</v>
      </c>
      <c r="M387" s="53"/>
    </row>
    <row r="388" spans="1:13" ht="38.25">
      <c r="A388" s="36">
        <v>385</v>
      </c>
      <c r="B388" s="14" t="s">
        <v>872</v>
      </c>
      <c r="C388" s="15" t="s">
        <v>14</v>
      </c>
      <c r="D388" s="16" t="s">
        <v>15</v>
      </c>
      <c r="E388" s="22" t="s">
        <v>873</v>
      </c>
      <c r="F388" s="15" t="s">
        <v>29</v>
      </c>
      <c r="G388" s="13"/>
      <c r="H388" s="26" t="s">
        <v>307</v>
      </c>
      <c r="I388" s="24">
        <v>400</v>
      </c>
      <c r="J388" s="20">
        <v>42513</v>
      </c>
      <c r="K388" s="20">
        <v>42544</v>
      </c>
      <c r="L388" s="24">
        <v>400</v>
      </c>
      <c r="M388" s="53"/>
    </row>
    <row r="389" spans="1:13" ht="38.25">
      <c r="A389" s="36">
        <v>386</v>
      </c>
      <c r="B389" s="14" t="s">
        <v>874</v>
      </c>
      <c r="C389" s="15" t="s">
        <v>14</v>
      </c>
      <c r="D389" s="16" t="s">
        <v>15</v>
      </c>
      <c r="E389" s="22" t="s">
        <v>875</v>
      </c>
      <c r="F389" s="15" t="s">
        <v>29</v>
      </c>
      <c r="G389" s="13"/>
      <c r="H389" s="26" t="s">
        <v>726</v>
      </c>
      <c r="I389" s="24">
        <v>740</v>
      </c>
      <c r="J389" s="20">
        <v>42506</v>
      </c>
      <c r="K389" s="20">
        <v>42598</v>
      </c>
      <c r="L389" s="24">
        <v>740</v>
      </c>
      <c r="M389" s="53"/>
    </row>
    <row r="390" spans="1:13" ht="38.25">
      <c r="A390" s="36">
        <v>387</v>
      </c>
      <c r="B390" s="14" t="s">
        <v>876</v>
      </c>
      <c r="C390" s="15" t="s">
        <v>14</v>
      </c>
      <c r="D390" s="16" t="s">
        <v>15</v>
      </c>
      <c r="E390" s="22" t="s">
        <v>877</v>
      </c>
      <c r="F390" s="15" t="s">
        <v>29</v>
      </c>
      <c r="G390" s="13"/>
      <c r="H390" s="26" t="s">
        <v>878</v>
      </c>
      <c r="I390" s="24">
        <v>800</v>
      </c>
      <c r="J390" s="20">
        <v>42506</v>
      </c>
      <c r="K390" s="20">
        <v>42530</v>
      </c>
      <c r="L390" s="19">
        <v>0</v>
      </c>
      <c r="M390" s="53"/>
    </row>
    <row r="391" spans="1:13" ht="38.25">
      <c r="A391" s="36">
        <v>388</v>
      </c>
      <c r="B391" s="14" t="s">
        <v>879</v>
      </c>
      <c r="C391" s="15" t="s">
        <v>14</v>
      </c>
      <c r="D391" s="16" t="s">
        <v>15</v>
      </c>
      <c r="E391" s="22" t="s">
        <v>880</v>
      </c>
      <c r="F391" s="15" t="s">
        <v>29</v>
      </c>
      <c r="G391" s="13"/>
      <c r="H391" s="26" t="s">
        <v>881</v>
      </c>
      <c r="I391" s="24">
        <v>1600</v>
      </c>
      <c r="J391" s="20">
        <v>42513</v>
      </c>
      <c r="K391" s="20">
        <v>42513</v>
      </c>
      <c r="L391" s="24">
        <v>1600</v>
      </c>
      <c r="M391" s="53"/>
    </row>
    <row r="392" spans="1:13" ht="38.25">
      <c r="A392" s="36">
        <v>389</v>
      </c>
      <c r="B392" s="14" t="s">
        <v>858</v>
      </c>
      <c r="C392" s="15" t="s">
        <v>14</v>
      </c>
      <c r="D392" s="16" t="s">
        <v>15</v>
      </c>
      <c r="E392" s="22" t="s">
        <v>882</v>
      </c>
      <c r="F392" s="15" t="s">
        <v>29</v>
      </c>
      <c r="G392" s="13"/>
      <c r="H392" s="26" t="s">
        <v>860</v>
      </c>
      <c r="I392" s="24">
        <v>78</v>
      </c>
      <c r="J392" s="20">
        <v>42515</v>
      </c>
      <c r="K392" s="20">
        <v>42521</v>
      </c>
      <c r="L392" s="19">
        <v>0</v>
      </c>
      <c r="M392" s="53"/>
    </row>
    <row r="393" spans="1:13" ht="38.25">
      <c r="A393" s="36">
        <v>390</v>
      </c>
      <c r="B393" s="14" t="s">
        <v>883</v>
      </c>
      <c r="C393" s="15" t="s">
        <v>14</v>
      </c>
      <c r="D393" s="16" t="s">
        <v>15</v>
      </c>
      <c r="E393" s="22" t="s">
        <v>884</v>
      </c>
      <c r="F393" s="15" t="s">
        <v>57</v>
      </c>
      <c r="G393" s="13"/>
      <c r="H393" s="26" t="s">
        <v>885</v>
      </c>
      <c r="I393" s="24">
        <v>3899</v>
      </c>
      <c r="J393" s="20">
        <v>42536</v>
      </c>
      <c r="K393" s="20">
        <v>43258</v>
      </c>
      <c r="L393" s="19">
        <v>983</v>
      </c>
      <c r="M393" s="53"/>
    </row>
    <row r="394" spans="1:13" ht="38.25">
      <c r="A394" s="36">
        <v>391</v>
      </c>
      <c r="B394" s="14" t="s">
        <v>886</v>
      </c>
      <c r="C394" s="15" t="s">
        <v>14</v>
      </c>
      <c r="D394" s="16" t="s">
        <v>15</v>
      </c>
      <c r="E394" s="22" t="s">
        <v>887</v>
      </c>
      <c r="F394" s="15" t="s">
        <v>29</v>
      </c>
      <c r="G394" s="13"/>
      <c r="H394" s="26" t="s">
        <v>768</v>
      </c>
      <c r="I394" s="24">
        <v>980</v>
      </c>
      <c r="J394" s="20">
        <v>42537</v>
      </c>
      <c r="K394" s="20">
        <v>42643</v>
      </c>
      <c r="L394" s="19">
        <v>0</v>
      </c>
      <c r="M394" s="53"/>
    </row>
    <row r="395" spans="1:13" ht="38.25">
      <c r="A395" s="36">
        <v>392</v>
      </c>
      <c r="B395" s="14" t="s">
        <v>888</v>
      </c>
      <c r="C395" s="15" t="s">
        <v>14</v>
      </c>
      <c r="D395" s="16" t="s">
        <v>15</v>
      </c>
      <c r="E395" s="22" t="s">
        <v>889</v>
      </c>
      <c r="F395" s="15" t="s">
        <v>29</v>
      </c>
      <c r="G395" s="13"/>
      <c r="H395" s="26" t="s">
        <v>890</v>
      </c>
      <c r="I395" s="24">
        <v>20134</v>
      </c>
      <c r="J395" s="20">
        <v>42614</v>
      </c>
      <c r="K395" s="20">
        <v>42978</v>
      </c>
      <c r="L395" s="19">
        <v>3645.95</v>
      </c>
      <c r="M395" s="53"/>
    </row>
    <row r="396" spans="1:13" ht="38.25">
      <c r="A396" s="36">
        <v>393</v>
      </c>
      <c r="B396" s="14" t="s">
        <v>891</v>
      </c>
      <c r="C396" s="15" t="s">
        <v>14</v>
      </c>
      <c r="D396" s="16" t="s">
        <v>15</v>
      </c>
      <c r="E396" s="22" t="s">
        <v>892</v>
      </c>
      <c r="F396" s="15" t="s">
        <v>29</v>
      </c>
      <c r="G396" s="13"/>
      <c r="H396" s="26" t="s">
        <v>890</v>
      </c>
      <c r="I396" s="24">
        <v>200</v>
      </c>
      <c r="J396" s="20">
        <v>42614</v>
      </c>
      <c r="K396" s="20">
        <v>42978</v>
      </c>
      <c r="L396" s="19">
        <v>22.32</v>
      </c>
      <c r="M396" s="53"/>
    </row>
    <row r="397" spans="1:13" ht="51">
      <c r="A397" s="36">
        <v>394</v>
      </c>
      <c r="B397" s="68" t="s">
        <v>893</v>
      </c>
      <c r="C397" s="15" t="s">
        <v>14</v>
      </c>
      <c r="D397" s="16" t="s">
        <v>15</v>
      </c>
      <c r="E397" s="22" t="s">
        <v>894</v>
      </c>
      <c r="F397" s="15" t="s">
        <v>29</v>
      </c>
      <c r="G397" s="13"/>
      <c r="H397" s="26" t="s">
        <v>895</v>
      </c>
      <c r="I397" s="24">
        <v>230</v>
      </c>
      <c r="J397" s="20">
        <v>42550</v>
      </c>
      <c r="K397" s="20">
        <v>42550</v>
      </c>
      <c r="L397" s="19">
        <v>0</v>
      </c>
      <c r="M397" s="53"/>
    </row>
    <row r="398" spans="1:13" ht="38.25">
      <c r="A398" s="36">
        <v>395</v>
      </c>
      <c r="B398" s="14" t="s">
        <v>896</v>
      </c>
      <c r="C398" s="15" t="s">
        <v>14</v>
      </c>
      <c r="D398" s="16" t="s">
        <v>15</v>
      </c>
      <c r="E398" s="22" t="s">
        <v>897</v>
      </c>
      <c r="F398" s="15" t="s">
        <v>29</v>
      </c>
      <c r="G398" s="13"/>
      <c r="H398" s="26" t="s">
        <v>739</v>
      </c>
      <c r="I398" s="24">
        <v>103.23</v>
      </c>
      <c r="J398" s="20">
        <v>42657</v>
      </c>
      <c r="K398" s="20">
        <v>42657</v>
      </c>
      <c r="L398" s="24">
        <v>103.23</v>
      </c>
      <c r="M398" s="53"/>
    </row>
    <row r="399" spans="1:13" ht="38.25">
      <c r="A399" s="36">
        <v>396</v>
      </c>
      <c r="B399" s="14" t="s">
        <v>851</v>
      </c>
      <c r="C399" s="15" t="s">
        <v>14</v>
      </c>
      <c r="D399" s="16" t="s">
        <v>15</v>
      </c>
      <c r="E399" s="22" t="s">
        <v>898</v>
      </c>
      <c r="F399" s="15" t="s">
        <v>29</v>
      </c>
      <c r="G399" s="13"/>
      <c r="H399" s="17" t="s">
        <v>128</v>
      </c>
      <c r="I399" s="24">
        <v>8000</v>
      </c>
      <c r="J399" s="20">
        <v>42736</v>
      </c>
      <c r="K399" s="20">
        <v>43100</v>
      </c>
      <c r="L399" s="19">
        <v>0</v>
      </c>
      <c r="M399" s="53"/>
    </row>
    <row r="400" spans="1:13" ht="38.25">
      <c r="A400" s="36">
        <v>397</v>
      </c>
      <c r="B400" s="14">
        <v>0</v>
      </c>
      <c r="C400" s="15" t="s">
        <v>14</v>
      </c>
      <c r="D400" s="16" t="s">
        <v>15</v>
      </c>
      <c r="E400" s="22" t="s">
        <v>899</v>
      </c>
      <c r="F400" s="15" t="s">
        <v>403</v>
      </c>
      <c r="G400" s="13"/>
      <c r="H400" s="26" t="s">
        <v>408</v>
      </c>
      <c r="I400" s="24">
        <v>8200</v>
      </c>
      <c r="J400" s="20">
        <v>42657</v>
      </c>
      <c r="K400" s="20">
        <v>42735</v>
      </c>
      <c r="L400" s="19">
        <v>0</v>
      </c>
      <c r="M400" s="53"/>
    </row>
    <row r="401" spans="1:13" ht="38.25">
      <c r="A401" s="36">
        <v>398</v>
      </c>
      <c r="B401" s="14" t="s">
        <v>900</v>
      </c>
      <c r="C401" s="15" t="s">
        <v>14</v>
      </c>
      <c r="D401" s="16" t="s">
        <v>15</v>
      </c>
      <c r="E401" s="22" t="s">
        <v>607</v>
      </c>
      <c r="F401" s="15" t="s">
        <v>57</v>
      </c>
      <c r="G401" s="13"/>
      <c r="H401" s="26" t="s">
        <v>606</v>
      </c>
      <c r="I401" s="24">
        <v>19227</v>
      </c>
      <c r="J401" s="20">
        <v>42657</v>
      </c>
      <c r="K401" s="20">
        <v>43100</v>
      </c>
      <c r="L401" s="24">
        <v>19227</v>
      </c>
      <c r="M401" s="53"/>
    </row>
    <row r="402" spans="1:13" ht="38.25">
      <c r="A402" s="36">
        <v>399</v>
      </c>
      <c r="B402" s="14" t="s">
        <v>901</v>
      </c>
      <c r="C402" s="15" t="s">
        <v>14</v>
      </c>
      <c r="D402" s="16" t="s">
        <v>15</v>
      </c>
      <c r="E402" s="22" t="s">
        <v>903</v>
      </c>
      <c r="F402" s="15" t="s">
        <v>29</v>
      </c>
      <c r="G402" s="13"/>
      <c r="H402" s="26" t="s">
        <v>902</v>
      </c>
      <c r="I402" s="24">
        <v>850</v>
      </c>
      <c r="J402" s="20">
        <v>42670</v>
      </c>
      <c r="K402" s="20">
        <v>42735</v>
      </c>
      <c r="L402" s="19">
        <v>0</v>
      </c>
      <c r="M402" s="53"/>
    </row>
    <row r="403" spans="1:13" ht="38.25">
      <c r="A403" s="36">
        <v>400</v>
      </c>
      <c r="B403" s="14" t="s">
        <v>904</v>
      </c>
      <c r="C403" s="15" t="s">
        <v>14</v>
      </c>
      <c r="D403" s="16" t="s">
        <v>15</v>
      </c>
      <c r="E403" s="22" t="s">
        <v>905</v>
      </c>
      <c r="F403" s="15" t="s">
        <v>29</v>
      </c>
      <c r="G403" s="13"/>
      <c r="H403" s="26" t="s">
        <v>906</v>
      </c>
      <c r="I403" s="24">
        <v>1700</v>
      </c>
      <c r="J403" s="20">
        <v>42696</v>
      </c>
      <c r="K403" s="20">
        <v>42696</v>
      </c>
      <c r="L403" s="19">
        <v>0</v>
      </c>
      <c r="M403" s="53"/>
    </row>
    <row r="404" spans="1:13" ht="38.25">
      <c r="A404" s="36">
        <v>401</v>
      </c>
      <c r="B404" s="14" t="s">
        <v>907</v>
      </c>
      <c r="C404" s="15" t="s">
        <v>14</v>
      </c>
      <c r="D404" s="16" t="s">
        <v>15</v>
      </c>
      <c r="E404" s="22" t="s">
        <v>908</v>
      </c>
      <c r="F404" s="15" t="s">
        <v>57</v>
      </c>
      <c r="G404" s="13"/>
      <c r="H404" s="26" t="s">
        <v>909</v>
      </c>
      <c r="I404" s="24">
        <v>65000</v>
      </c>
      <c r="J404" s="20">
        <v>42736</v>
      </c>
      <c r="K404" s="20">
        <v>43100</v>
      </c>
      <c r="L404" s="19">
        <v>0</v>
      </c>
      <c r="M404" s="53"/>
    </row>
    <row r="405" spans="1:13" ht="38.25">
      <c r="A405" s="36">
        <v>402</v>
      </c>
      <c r="B405" s="14" t="s">
        <v>910</v>
      </c>
      <c r="C405" s="15" t="s">
        <v>14</v>
      </c>
      <c r="D405" s="16" t="s">
        <v>15</v>
      </c>
      <c r="E405" s="22" t="s">
        <v>824</v>
      </c>
      <c r="F405" s="15" t="s">
        <v>29</v>
      </c>
      <c r="G405" s="13"/>
      <c r="H405" s="26" t="s">
        <v>555</v>
      </c>
      <c r="I405" s="24">
        <v>100</v>
      </c>
      <c r="J405" s="20">
        <v>42699</v>
      </c>
      <c r="K405" s="20">
        <v>42699</v>
      </c>
      <c r="L405" s="19">
        <v>0</v>
      </c>
      <c r="M405" s="53"/>
    </row>
    <row r="406" spans="1:13" ht="38.25">
      <c r="A406" s="36">
        <v>403</v>
      </c>
      <c r="B406" s="14">
        <v>0</v>
      </c>
      <c r="C406" s="15" t="s">
        <v>14</v>
      </c>
      <c r="D406" s="16" t="s">
        <v>15</v>
      </c>
      <c r="E406" s="22" t="s">
        <v>911</v>
      </c>
      <c r="F406" s="15" t="s">
        <v>403</v>
      </c>
      <c r="G406" s="13"/>
      <c r="H406" s="17" t="s">
        <v>488</v>
      </c>
      <c r="I406" s="24">
        <v>292500</v>
      </c>
      <c r="J406" s="20">
        <v>42736</v>
      </c>
      <c r="K406" s="20">
        <v>43465</v>
      </c>
      <c r="L406" s="19">
        <v>0</v>
      </c>
      <c r="M406" s="53"/>
    </row>
    <row r="407" spans="1:13" ht="51">
      <c r="A407" s="36">
        <v>404</v>
      </c>
      <c r="B407" s="14" t="s">
        <v>912</v>
      </c>
      <c r="C407" s="15" t="s">
        <v>14</v>
      </c>
      <c r="D407" s="16" t="s">
        <v>15</v>
      </c>
      <c r="E407" s="22" t="s">
        <v>913</v>
      </c>
      <c r="F407" s="15" t="s">
        <v>29</v>
      </c>
      <c r="G407" s="13"/>
      <c r="H407" s="26" t="s">
        <v>792</v>
      </c>
      <c r="I407" s="24">
        <v>2100</v>
      </c>
      <c r="J407" s="20">
        <v>42695</v>
      </c>
      <c r="K407" s="20">
        <v>42711</v>
      </c>
      <c r="L407" s="19">
        <v>0</v>
      </c>
      <c r="M407" s="53"/>
    </row>
    <row r="408" spans="1:13" ht="38.25">
      <c r="A408" s="36">
        <v>405</v>
      </c>
      <c r="B408" s="14" t="s">
        <v>914</v>
      </c>
      <c r="C408" s="15" t="s">
        <v>14</v>
      </c>
      <c r="D408" s="16" t="s">
        <v>15</v>
      </c>
      <c r="E408" s="22" t="s">
        <v>915</v>
      </c>
      <c r="F408" s="15" t="s">
        <v>29</v>
      </c>
      <c r="G408" s="13"/>
      <c r="H408" s="26" t="s">
        <v>906</v>
      </c>
      <c r="I408" s="24">
        <v>10200</v>
      </c>
      <c r="J408" s="20">
        <v>42704</v>
      </c>
      <c r="K408" s="20">
        <v>42727</v>
      </c>
      <c r="L408" s="19">
        <v>0</v>
      </c>
      <c r="M408" s="53"/>
    </row>
    <row r="409" spans="1:13" ht="38.25">
      <c r="A409" s="36">
        <v>406</v>
      </c>
      <c r="B409" s="14" t="s">
        <v>916</v>
      </c>
      <c r="C409" s="15" t="s">
        <v>14</v>
      </c>
      <c r="D409" s="16" t="s">
        <v>15</v>
      </c>
      <c r="E409" s="22" t="s">
        <v>917</v>
      </c>
      <c r="F409" s="15" t="s">
        <v>57</v>
      </c>
      <c r="G409" s="13"/>
      <c r="H409" s="26" t="s">
        <v>918</v>
      </c>
      <c r="I409" s="24">
        <v>188696.97</v>
      </c>
      <c r="J409" s="20">
        <v>42736</v>
      </c>
      <c r="K409" s="20">
        <v>43830</v>
      </c>
      <c r="L409" s="19">
        <v>0</v>
      </c>
      <c r="M409" s="53"/>
    </row>
    <row r="410" spans="1:13" ht="38.25">
      <c r="A410" s="36">
        <v>407</v>
      </c>
      <c r="B410" s="14" t="s">
        <v>919</v>
      </c>
      <c r="C410" s="15" t="s">
        <v>14</v>
      </c>
      <c r="D410" s="16" t="s">
        <v>15</v>
      </c>
      <c r="E410" s="22" t="s">
        <v>920</v>
      </c>
      <c r="F410" s="15" t="s">
        <v>29</v>
      </c>
      <c r="G410" s="13"/>
      <c r="H410" s="26" t="s">
        <v>921</v>
      </c>
      <c r="I410" s="24">
        <v>900</v>
      </c>
      <c r="J410" s="20">
        <v>42736</v>
      </c>
      <c r="K410" s="20">
        <v>43830</v>
      </c>
      <c r="L410" s="19">
        <v>0</v>
      </c>
      <c r="M410" s="53"/>
    </row>
    <row r="411" spans="1:13" ht="38.25">
      <c r="A411" s="36">
        <v>408</v>
      </c>
      <c r="B411" s="14" t="s">
        <v>922</v>
      </c>
      <c r="C411" s="15" t="s">
        <v>14</v>
      </c>
      <c r="D411" s="16" t="s">
        <v>15</v>
      </c>
      <c r="E411" s="22" t="s">
        <v>923</v>
      </c>
      <c r="F411" s="15" t="s">
        <v>29</v>
      </c>
      <c r="G411" s="13"/>
      <c r="H411" s="26" t="s">
        <v>924</v>
      </c>
      <c r="I411" s="24">
        <v>900</v>
      </c>
      <c r="J411" s="20">
        <v>42736</v>
      </c>
      <c r="K411" s="20">
        <v>43100</v>
      </c>
      <c r="L411" s="19">
        <v>0</v>
      </c>
      <c r="M411" s="53"/>
    </row>
    <row r="412" spans="1:13" ht="38.25">
      <c r="A412" s="36">
        <v>409</v>
      </c>
      <c r="B412" s="14" t="s">
        <v>925</v>
      </c>
      <c r="C412" s="15" t="s">
        <v>14</v>
      </c>
      <c r="D412" s="16" t="s">
        <v>15</v>
      </c>
      <c r="E412" s="22" t="s">
        <v>846</v>
      </c>
      <c r="F412" s="15" t="s">
        <v>29</v>
      </c>
      <c r="G412" s="13"/>
      <c r="H412" s="26" t="s">
        <v>61</v>
      </c>
      <c r="I412" s="24">
        <v>23000</v>
      </c>
      <c r="J412" s="20">
        <v>42736</v>
      </c>
      <c r="K412" s="20">
        <v>43830</v>
      </c>
      <c r="L412" s="19">
        <v>0</v>
      </c>
      <c r="M412" s="53"/>
    </row>
    <row r="413" spans="1:13" ht="38.25">
      <c r="A413" s="36">
        <v>410</v>
      </c>
      <c r="B413" s="14" t="s">
        <v>926</v>
      </c>
      <c r="C413" s="15" t="s">
        <v>14</v>
      </c>
      <c r="D413" s="16" t="s">
        <v>15</v>
      </c>
      <c r="E413" s="22" t="s">
        <v>927</v>
      </c>
      <c r="F413" s="30" t="s">
        <v>105</v>
      </c>
      <c r="G413" s="13"/>
      <c r="H413" s="17" t="s">
        <v>107</v>
      </c>
      <c r="I413" s="24">
        <v>0</v>
      </c>
      <c r="J413" s="20">
        <v>42736</v>
      </c>
      <c r="K413" s="20">
        <v>44196</v>
      </c>
      <c r="L413" s="19">
        <v>0</v>
      </c>
      <c r="M413" s="53"/>
    </row>
    <row r="414" spans="1:13" ht="38.25">
      <c r="A414" s="36">
        <v>411</v>
      </c>
      <c r="B414" s="14" t="s">
        <v>928</v>
      </c>
      <c r="C414" s="15" t="s">
        <v>14</v>
      </c>
      <c r="D414" s="16" t="s">
        <v>15</v>
      </c>
      <c r="E414" s="22" t="s">
        <v>929</v>
      </c>
      <c r="F414" s="15" t="s">
        <v>29</v>
      </c>
      <c r="G414" s="13"/>
      <c r="H414" s="26" t="s">
        <v>930</v>
      </c>
      <c r="I414" s="24">
        <v>1350</v>
      </c>
      <c r="J414" s="20">
        <v>42736</v>
      </c>
      <c r="K414" s="20">
        <v>43830</v>
      </c>
      <c r="L414" s="19">
        <v>0</v>
      </c>
      <c r="M414" s="53"/>
    </row>
    <row r="415" spans="1:13" ht="63.75">
      <c r="A415" s="36">
        <v>412</v>
      </c>
      <c r="B415" s="14" t="s">
        <v>931</v>
      </c>
      <c r="C415" s="15" t="s">
        <v>14</v>
      </c>
      <c r="D415" s="16" t="s">
        <v>15</v>
      </c>
      <c r="E415" s="22" t="s">
        <v>932</v>
      </c>
      <c r="F415" s="15" t="s">
        <v>29</v>
      </c>
      <c r="G415" s="13"/>
      <c r="H415" s="26" t="s">
        <v>933</v>
      </c>
      <c r="I415" s="24">
        <v>7264.95</v>
      </c>
      <c r="J415" s="20">
        <v>42719</v>
      </c>
      <c r="K415" s="20">
        <v>42825</v>
      </c>
      <c r="L415" s="19">
        <v>0</v>
      </c>
      <c r="M415" s="53"/>
    </row>
    <row r="416" spans="1:13" ht="38.25">
      <c r="A416" s="36">
        <v>413</v>
      </c>
      <c r="B416" s="14" t="s">
        <v>934</v>
      </c>
      <c r="C416" s="15" t="s">
        <v>14</v>
      </c>
      <c r="D416" s="16" t="s">
        <v>15</v>
      </c>
      <c r="E416" s="22" t="s">
        <v>935</v>
      </c>
      <c r="F416" s="15" t="s">
        <v>29</v>
      </c>
      <c r="G416" s="13"/>
      <c r="H416" s="26" t="s">
        <v>936</v>
      </c>
      <c r="I416" s="24">
        <v>2700</v>
      </c>
      <c r="J416" s="20">
        <v>42736</v>
      </c>
      <c r="K416" s="20">
        <v>43830</v>
      </c>
      <c r="L416" s="19">
        <v>0</v>
      </c>
      <c r="M416" s="53"/>
    </row>
    <row r="417" spans="1:13" ht="38.25">
      <c r="A417" s="36">
        <v>414</v>
      </c>
      <c r="B417" s="14" t="s">
        <v>937</v>
      </c>
      <c r="C417" s="15" t="s">
        <v>14</v>
      </c>
      <c r="D417" s="16" t="s">
        <v>15</v>
      </c>
      <c r="E417" s="22" t="s">
        <v>938</v>
      </c>
      <c r="F417" s="15" t="s">
        <v>29</v>
      </c>
      <c r="G417" s="13"/>
      <c r="H417" s="26" t="s">
        <v>939</v>
      </c>
      <c r="I417" s="24">
        <v>87.12</v>
      </c>
      <c r="J417" s="20">
        <v>42736</v>
      </c>
      <c r="K417" s="20">
        <v>43830</v>
      </c>
      <c r="L417" s="19">
        <v>0</v>
      </c>
      <c r="M417" s="53"/>
    </row>
    <row r="418" spans="1:13" ht="38.25">
      <c r="A418" s="36">
        <v>415</v>
      </c>
      <c r="B418" s="14" t="s">
        <v>940</v>
      </c>
      <c r="C418" s="15" t="s">
        <v>14</v>
      </c>
      <c r="D418" s="16" t="s">
        <v>15</v>
      </c>
      <c r="E418" s="22" t="s">
        <v>941</v>
      </c>
      <c r="F418" s="15" t="s">
        <v>29</v>
      </c>
      <c r="G418" s="13"/>
      <c r="H418" s="26" t="s">
        <v>117</v>
      </c>
      <c r="I418" s="24">
        <v>14400</v>
      </c>
      <c r="J418" s="20">
        <v>42736</v>
      </c>
      <c r="K418" s="20">
        <v>43465</v>
      </c>
      <c r="L418" s="19">
        <v>0</v>
      </c>
      <c r="M418" s="53"/>
    </row>
    <row r="419" spans="1:13" ht="38.25">
      <c r="A419" s="36">
        <v>416</v>
      </c>
      <c r="B419" s="14" t="s">
        <v>942</v>
      </c>
      <c r="C419" s="15" t="s">
        <v>14</v>
      </c>
      <c r="D419" s="16" t="s">
        <v>15</v>
      </c>
      <c r="E419" s="22" t="s">
        <v>943</v>
      </c>
      <c r="F419" s="15" t="s">
        <v>29</v>
      </c>
      <c r="G419" s="13"/>
      <c r="H419" s="26" t="s">
        <v>225</v>
      </c>
      <c r="I419" s="24">
        <v>211</v>
      </c>
      <c r="J419" s="20">
        <v>42410</v>
      </c>
      <c r="K419" s="20">
        <v>42429</v>
      </c>
      <c r="L419" s="24">
        <v>211</v>
      </c>
      <c r="M419" s="53"/>
    </row>
    <row r="420" spans="1:13" ht="38.25">
      <c r="A420" s="36">
        <v>417</v>
      </c>
      <c r="B420" s="14">
        <v>0</v>
      </c>
      <c r="C420" s="15" t="s">
        <v>14</v>
      </c>
      <c r="D420" s="16" t="s">
        <v>15</v>
      </c>
      <c r="E420" s="22" t="s">
        <v>944</v>
      </c>
      <c r="F420" s="15" t="s">
        <v>29</v>
      </c>
      <c r="G420" s="13"/>
      <c r="H420" s="26" t="s">
        <v>945</v>
      </c>
      <c r="I420" s="24">
        <v>3000</v>
      </c>
      <c r="J420" s="20">
        <v>42419</v>
      </c>
      <c r="K420" s="20">
        <v>42419</v>
      </c>
      <c r="L420" s="19">
        <v>0</v>
      </c>
      <c r="M420" s="53"/>
    </row>
    <row r="421" spans="1:13" ht="63.75">
      <c r="A421" s="36">
        <v>418</v>
      </c>
      <c r="B421" s="14" t="s">
        <v>946</v>
      </c>
      <c r="C421" s="15" t="s">
        <v>14</v>
      </c>
      <c r="D421" s="16" t="s">
        <v>15</v>
      </c>
      <c r="E421" s="22" t="s">
        <v>947</v>
      </c>
      <c r="F421" s="15" t="s">
        <v>57</v>
      </c>
      <c r="G421" s="13"/>
      <c r="H421" s="26" t="s">
        <v>948</v>
      </c>
      <c r="I421" s="24">
        <v>15369.8</v>
      </c>
      <c r="J421" s="20">
        <v>42472</v>
      </c>
      <c r="K421" s="20">
        <v>44298</v>
      </c>
      <c r="L421" s="19">
        <v>625.12</v>
      </c>
      <c r="M421" s="53"/>
    </row>
    <row r="422" spans="1:13" ht="38.25">
      <c r="A422" s="36">
        <v>419</v>
      </c>
      <c r="B422" s="14" t="s">
        <v>951</v>
      </c>
      <c r="C422" s="15" t="s">
        <v>14</v>
      </c>
      <c r="D422" s="16" t="s">
        <v>15</v>
      </c>
      <c r="E422" s="22" t="s">
        <v>949</v>
      </c>
      <c r="F422" s="15" t="s">
        <v>29</v>
      </c>
      <c r="G422" s="13"/>
      <c r="H422" s="26" t="s">
        <v>950</v>
      </c>
      <c r="I422" s="24">
        <v>669</v>
      </c>
      <c r="J422" s="20">
        <v>42516</v>
      </c>
      <c r="K422" s="20">
        <v>42516</v>
      </c>
      <c r="L422" s="24">
        <v>669</v>
      </c>
      <c r="M422" s="53"/>
    </row>
    <row r="423" spans="1:13" ht="38.25">
      <c r="A423" s="36">
        <v>420</v>
      </c>
      <c r="B423" s="14" t="s">
        <v>952</v>
      </c>
      <c r="C423" s="15" t="s">
        <v>14</v>
      </c>
      <c r="D423" s="16" t="s">
        <v>15</v>
      </c>
      <c r="E423" s="22" t="s">
        <v>953</v>
      </c>
      <c r="F423" s="15" t="s">
        <v>29</v>
      </c>
      <c r="G423" s="13"/>
      <c r="H423" s="26" t="s">
        <v>30</v>
      </c>
      <c r="I423" s="24">
        <v>1725</v>
      </c>
      <c r="J423" s="20">
        <v>42552</v>
      </c>
      <c r="K423" s="20">
        <v>42916</v>
      </c>
      <c r="L423" s="24">
        <v>1725</v>
      </c>
      <c r="M423" s="53"/>
    </row>
    <row r="424" spans="1:13" ht="38.25">
      <c r="A424" s="36">
        <v>421</v>
      </c>
      <c r="B424" s="14">
        <v>0</v>
      </c>
      <c r="C424" s="15" t="s">
        <v>14</v>
      </c>
      <c r="D424" s="16" t="s">
        <v>15</v>
      </c>
      <c r="E424" s="22" t="s">
        <v>954</v>
      </c>
      <c r="F424" s="15" t="s">
        <v>403</v>
      </c>
      <c r="G424" s="13"/>
      <c r="H424" s="26" t="s">
        <v>955</v>
      </c>
      <c r="I424" s="24">
        <v>3900</v>
      </c>
      <c r="J424" s="20">
        <v>42552</v>
      </c>
      <c r="K424" s="20">
        <v>42916</v>
      </c>
      <c r="L424" s="19">
        <v>4758</v>
      </c>
      <c r="M424" s="53"/>
    </row>
    <row r="425" spans="1:13" ht="38.25">
      <c r="A425" s="36">
        <v>422</v>
      </c>
      <c r="B425" s="14">
        <v>0</v>
      </c>
      <c r="C425" s="15" t="s">
        <v>14</v>
      </c>
      <c r="D425" s="16" t="s">
        <v>15</v>
      </c>
      <c r="E425" s="22" t="s">
        <v>956</v>
      </c>
      <c r="F425" s="15" t="s">
        <v>403</v>
      </c>
      <c r="G425" s="13"/>
      <c r="H425" s="26" t="s">
        <v>955</v>
      </c>
      <c r="I425" s="24">
        <v>7000</v>
      </c>
      <c r="J425" s="20">
        <v>42644</v>
      </c>
      <c r="K425" s="20">
        <v>43008</v>
      </c>
      <c r="L425" s="19">
        <f>734.53+4708+758.08</f>
        <v>6200.61</v>
      </c>
      <c r="M425" s="53"/>
    </row>
    <row r="426" spans="1:13" ht="38.25">
      <c r="A426" s="36">
        <v>423</v>
      </c>
      <c r="B426" s="14">
        <v>0</v>
      </c>
      <c r="C426" s="15" t="s">
        <v>14</v>
      </c>
      <c r="D426" s="16" t="s">
        <v>15</v>
      </c>
      <c r="E426" s="22" t="s">
        <v>957</v>
      </c>
      <c r="F426" s="15" t="s">
        <v>29</v>
      </c>
      <c r="G426" s="13"/>
      <c r="H426" s="26" t="s">
        <v>958</v>
      </c>
      <c r="I426" s="24">
        <v>250</v>
      </c>
      <c r="J426" s="20">
        <v>42642</v>
      </c>
      <c r="K426" s="20">
        <v>42642</v>
      </c>
      <c r="L426" s="19">
        <v>0</v>
      </c>
      <c r="M426" s="53"/>
    </row>
    <row r="427" spans="1:13" ht="38.25">
      <c r="A427" s="36">
        <v>424</v>
      </c>
      <c r="B427" s="14" t="s">
        <v>959</v>
      </c>
      <c r="C427" s="15" t="s">
        <v>14</v>
      </c>
      <c r="D427" s="16" t="s">
        <v>15</v>
      </c>
      <c r="E427" s="22" t="s">
        <v>960</v>
      </c>
      <c r="F427" s="15" t="s">
        <v>29</v>
      </c>
      <c r="G427" s="13"/>
      <c r="H427" s="26" t="s">
        <v>961</v>
      </c>
      <c r="I427" s="24">
        <v>160</v>
      </c>
      <c r="J427" s="20">
        <v>42668</v>
      </c>
      <c r="K427" s="20">
        <v>42704</v>
      </c>
      <c r="L427" s="24">
        <v>160</v>
      </c>
      <c r="M427" s="53"/>
    </row>
    <row r="428" spans="1:13" ht="38.25">
      <c r="A428" s="36">
        <v>425</v>
      </c>
      <c r="B428" s="14">
        <v>0</v>
      </c>
      <c r="C428" s="15" t="s">
        <v>14</v>
      </c>
      <c r="D428" s="16" t="s">
        <v>15</v>
      </c>
      <c r="E428" s="22" t="s">
        <v>962</v>
      </c>
      <c r="F428" s="15" t="s">
        <v>403</v>
      </c>
      <c r="G428" s="13"/>
      <c r="H428" s="26" t="s">
        <v>676</v>
      </c>
      <c r="I428" s="24">
        <v>324.35</v>
      </c>
      <c r="J428" s="20">
        <v>42668</v>
      </c>
      <c r="K428" s="20">
        <v>42735</v>
      </c>
      <c r="L428" s="19">
        <v>0</v>
      </c>
      <c r="M428" s="53"/>
    </row>
    <row r="429" spans="1:13" ht="38.25">
      <c r="A429" s="36">
        <v>426</v>
      </c>
      <c r="B429" s="14">
        <v>0</v>
      </c>
      <c r="C429" s="15" t="s">
        <v>14</v>
      </c>
      <c r="D429" s="16" t="s">
        <v>15</v>
      </c>
      <c r="E429" s="22" t="s">
        <v>963</v>
      </c>
      <c r="F429" s="15" t="s">
        <v>403</v>
      </c>
      <c r="G429" s="13"/>
      <c r="H429" s="26" t="s">
        <v>955</v>
      </c>
      <c r="I429" s="24">
        <v>1210</v>
      </c>
      <c r="J429" s="20">
        <v>42669</v>
      </c>
      <c r="K429" s="20">
        <v>42735</v>
      </c>
      <c r="L429" s="19">
        <v>0</v>
      </c>
      <c r="M429" s="53"/>
    </row>
    <row r="430" spans="1:13" ht="38.25">
      <c r="A430" s="36">
        <v>427</v>
      </c>
      <c r="B430" s="14" t="s">
        <v>964</v>
      </c>
      <c r="C430" s="15" t="s">
        <v>14</v>
      </c>
      <c r="D430" s="16" t="s">
        <v>15</v>
      </c>
      <c r="E430" s="22" t="s">
        <v>965</v>
      </c>
      <c r="F430" s="15" t="s">
        <v>57</v>
      </c>
      <c r="G430" s="13"/>
      <c r="H430" s="26" t="s">
        <v>966</v>
      </c>
      <c r="I430" s="24">
        <v>163.94</v>
      </c>
      <c r="J430" s="20">
        <v>42670</v>
      </c>
      <c r="K430" s="20">
        <v>42704</v>
      </c>
      <c r="L430" s="24">
        <v>163.94</v>
      </c>
      <c r="M430" s="53"/>
    </row>
    <row r="431" spans="1:13" ht="38.25">
      <c r="A431" s="36">
        <v>428</v>
      </c>
      <c r="B431" s="14" t="s">
        <v>967</v>
      </c>
      <c r="C431" s="15" t="s">
        <v>14</v>
      </c>
      <c r="D431" s="16" t="s">
        <v>15</v>
      </c>
      <c r="E431" s="22" t="s">
        <v>968</v>
      </c>
      <c r="F431" s="15" t="s">
        <v>57</v>
      </c>
      <c r="G431" s="13"/>
      <c r="H431" s="26" t="s">
        <v>969</v>
      </c>
      <c r="I431" s="24">
        <v>163.935</v>
      </c>
      <c r="J431" s="20">
        <v>42681</v>
      </c>
      <c r="K431" s="20">
        <v>42704</v>
      </c>
      <c r="L431" s="24">
        <v>163.935</v>
      </c>
      <c r="M431" s="53"/>
    </row>
    <row r="432" spans="1:13" ht="51">
      <c r="A432" s="36">
        <v>429</v>
      </c>
      <c r="B432" s="14" t="s">
        <v>970</v>
      </c>
      <c r="C432" s="15" t="s">
        <v>14</v>
      </c>
      <c r="D432" s="16" t="s">
        <v>15</v>
      </c>
      <c r="E432" s="22" t="s">
        <v>971</v>
      </c>
      <c r="F432" s="15" t="s">
        <v>29</v>
      </c>
      <c r="G432" s="13"/>
      <c r="H432" s="26" t="s">
        <v>972</v>
      </c>
      <c r="I432" s="24">
        <v>4400</v>
      </c>
      <c r="J432" s="20">
        <v>42736</v>
      </c>
      <c r="K432" s="20">
        <v>44196</v>
      </c>
      <c r="L432" s="19">
        <v>0</v>
      </c>
      <c r="M432" s="53"/>
    </row>
    <row r="433" spans="1:13" ht="38.25">
      <c r="A433" s="36">
        <v>430</v>
      </c>
      <c r="B433" s="14" t="s">
        <v>973</v>
      </c>
      <c r="C433" s="15" t="s">
        <v>14</v>
      </c>
      <c r="D433" s="16" t="s">
        <v>15</v>
      </c>
      <c r="E433" s="22" t="s">
        <v>974</v>
      </c>
      <c r="F433" s="15" t="s">
        <v>29</v>
      </c>
      <c r="G433" s="13"/>
      <c r="H433" s="26" t="s">
        <v>368</v>
      </c>
      <c r="I433" s="24">
        <v>1800</v>
      </c>
      <c r="J433" s="20">
        <v>42736</v>
      </c>
      <c r="K433" s="20">
        <v>43830</v>
      </c>
      <c r="L433" s="19">
        <v>0</v>
      </c>
      <c r="M433" s="53"/>
    </row>
    <row r="436" ht="12.75">
      <c r="A436" s="72" t="s">
        <v>975</v>
      </c>
    </row>
  </sheetData>
  <sheetProtection selectLockedCells="1" selectUnlockedCells="1"/>
  <mergeCells count="12">
    <mergeCell ref="J2:K2"/>
    <mergeCell ref="L2:L3"/>
    <mergeCell ref="A1:L1"/>
    <mergeCell ref="A2:A3"/>
    <mergeCell ref="B2:B3"/>
    <mergeCell ref="C2:C3"/>
    <mergeCell ref="D2:D3"/>
    <mergeCell ref="E2:E3"/>
    <mergeCell ref="F2:F3"/>
    <mergeCell ref="G2:G3"/>
    <mergeCell ref="H2:H3"/>
    <mergeCell ref="I2:I3"/>
  </mergeCells>
  <printOptions horizontalCentered="1"/>
  <pageMargins left="0.11805555555555555" right="0.11805555555555555" top="0.6590277777777778" bottom="0.6590277777777778" header="0.39375" footer="0.39375"/>
  <pageSetup firstPageNumber="1" useFirstPageNumber="1" horizontalDpi="300" verticalDpi="300" orientation="landscape" paperSize="8" scale="71" r:id="rId3"/>
  <headerFooter alignWithMargins="0">
    <oddHeader>&amp;C&amp;"Times New Roman,Normale"&amp;12&amp;A</oddHeader>
    <oddFooter>&amp;C&amp;"Times New Roman,Normale"&amp;12Pagina &amp;P</oddFooter>
  </headerFooter>
  <legacyDrawing r:id="rId2"/>
</worksheet>
</file>

<file path=xl/worksheets/sheet2.xml><?xml version="1.0" encoding="utf-8"?>
<worksheet xmlns="http://schemas.openxmlformats.org/spreadsheetml/2006/main" xmlns:r="http://schemas.openxmlformats.org/officeDocument/2006/relationships">
  <dimension ref="A2:C8"/>
  <sheetViews>
    <sheetView zoomScalePageLayoutView="0" workbookViewId="0" topLeftCell="A1">
      <selection activeCell="A13" sqref="A13"/>
    </sheetView>
  </sheetViews>
  <sheetFormatPr defaultColWidth="11.57421875" defaultRowHeight="12.75"/>
  <cols>
    <col min="1" max="1" width="28.7109375" style="0" customWidth="1"/>
    <col min="2" max="2" width="18.140625" style="0" customWidth="1"/>
  </cols>
  <sheetData>
    <row r="2" spans="1:3" ht="12.75">
      <c r="A2" s="47" t="s">
        <v>561</v>
      </c>
      <c r="B2" s="48" t="s">
        <v>562</v>
      </c>
      <c r="C2" s="49"/>
    </row>
    <row r="3" spans="1:3" ht="12.75">
      <c r="A3" s="47" t="s">
        <v>563</v>
      </c>
      <c r="B3" s="47" t="s">
        <v>564</v>
      </c>
      <c r="C3" s="49"/>
    </row>
    <row r="4" spans="1:3" ht="12.75">
      <c r="A4" s="47" t="s">
        <v>565</v>
      </c>
      <c r="B4" s="47" t="s">
        <v>566</v>
      </c>
      <c r="C4" s="49"/>
    </row>
    <row r="5" spans="1:3" ht="12.75">
      <c r="A5" s="47" t="s">
        <v>567</v>
      </c>
      <c r="B5" s="47" t="s">
        <v>566</v>
      </c>
      <c r="C5" s="49"/>
    </row>
    <row r="6" spans="1:3" ht="12.75">
      <c r="A6" s="47" t="s">
        <v>568</v>
      </c>
      <c r="B6" s="47" t="s">
        <v>566</v>
      </c>
      <c r="C6" s="49"/>
    </row>
    <row r="7" spans="1:3" ht="12.75">
      <c r="A7" s="47" t="s">
        <v>569</v>
      </c>
      <c r="B7" s="47" t="s">
        <v>570</v>
      </c>
      <c r="C7" s="50"/>
    </row>
    <row r="8" spans="1:3" ht="12.75">
      <c r="A8" s="47" t="s">
        <v>571</v>
      </c>
      <c r="B8" s="47" t="s">
        <v>572</v>
      </c>
      <c r="C8" s="47"/>
    </row>
  </sheetData>
  <sheetProtection selectLockedCells="1" selectUnlockedCells="1"/>
  <printOptions/>
  <pageMargins left="0.7875" right="0.7875" top="1.0527777777777778" bottom="1.0527777777777778" header="0.7875" footer="0.7875"/>
  <pageSetup horizontalDpi="300" verticalDpi="300" orientation="portrait" paperSize="9" scale="90"/>
  <headerFooter alignWithMargins="0">
    <oddHeader>&amp;C&amp;"Times New Roman,Normale"&amp;12&amp;A</oddHeader>
    <oddFooter>&amp;C&amp;"Times New Roman,Normale"&amp;12Pagina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Mauro Bonini</dc:creator>
  <cp:keywords/>
  <dc:description/>
  <cp:lastModifiedBy>Mauro Bonini</cp:lastModifiedBy>
  <dcterms:created xsi:type="dcterms:W3CDTF">2015-11-27T12:46:58Z</dcterms:created>
  <dcterms:modified xsi:type="dcterms:W3CDTF">2017-01-25T10:05:07Z</dcterms:modified>
  <cp:category/>
  <cp:version/>
  <cp:contentType/>
  <cp:contentStatus/>
</cp:coreProperties>
</file>